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" windowWidth="15202" windowHeight="8694" activeTab="3"/>
  </bookViews>
  <sheets>
    <sheet name="Total po real. a decommit." sheetId="1" r:id="rId1"/>
    <sheet name="2004" sheetId="2" r:id="rId2"/>
    <sheet name="2005" sheetId="3" r:id="rId3"/>
    <sheet name="2006" sheetId="4" r:id="rId4"/>
  </sheets>
  <definedNames>
    <definedName name="_xlnm.Print_Area" localSheetId="0">'Total po real. a decommit.'!$A$1:$I$154</definedName>
  </definedNames>
  <calcPr fullCalcOnLoad="1"/>
</workbook>
</file>

<file path=xl/sharedStrings.xml><?xml version="1.0" encoding="utf-8"?>
<sst xmlns="http://schemas.openxmlformats.org/spreadsheetml/2006/main" count="206" uniqueCount="52">
  <si>
    <t>national cofinancing</t>
  </si>
  <si>
    <t>private</t>
  </si>
  <si>
    <t>cofinancing</t>
  </si>
  <si>
    <t>public cofinancing</t>
  </si>
  <si>
    <t>EU-contribution</t>
  </si>
  <si>
    <t>public</t>
  </si>
  <si>
    <t>total costs</t>
  </si>
  <si>
    <t>total</t>
  </si>
  <si>
    <r>
      <t>ERDF</t>
    </r>
    <r>
      <rPr>
        <vertAlign val="superscript"/>
        <sz val="6"/>
        <rFont val="Arial"/>
        <family val="2"/>
      </rPr>
      <t>1</t>
    </r>
  </si>
  <si>
    <t>%</t>
  </si>
  <si>
    <r>
      <t>cofinancing</t>
    </r>
    <r>
      <rPr>
        <vertAlign val="superscript"/>
        <sz val="6"/>
        <rFont val="Arial"/>
        <family val="2"/>
      </rPr>
      <t>2</t>
    </r>
  </si>
  <si>
    <t>a=b+f</t>
  </si>
  <si>
    <t>b=c+e</t>
  </si>
  <si>
    <t>c</t>
  </si>
  <si>
    <t>d=e+f</t>
  </si>
  <si>
    <t>e</t>
  </si>
  <si>
    <t>f</t>
  </si>
  <si>
    <t>1.    Cross-border Economic Co-operation</t>
  </si>
  <si>
    <t>1.1: Development and Support of Business Sites and Business Service Infrastructure in Border Areas</t>
  </si>
  <si>
    <t>1.2: Cross-border Cooperation of Enterprises (SMEs) and Counselling and Support for Crossborder Business Activities</t>
  </si>
  <si>
    <t>1.3: Tourism and Leisure</t>
  </si>
  <si>
    <t>2.    Accessibility</t>
  </si>
  <si>
    <t>2.1: Improvement of Crossborder Transport and Telecommunication Infrastructure</t>
  </si>
  <si>
    <t>2.2: Transport Organisation, Planning and Logistics</t>
  </si>
  <si>
    <t>3.    Cross-border Organisational Structures and Networks</t>
  </si>
  <si>
    <t>3.1: Support of Crossborder Organisational Structures and Development of Networks</t>
  </si>
  <si>
    <t>3.2: Micro-projects including People-to-People Actions and Small Pilots</t>
  </si>
  <si>
    <t>4.    Human Resources</t>
  </si>
  <si>
    <t>4.1: Development of Regional Labour Markets within the Context of EU Enlargement</t>
  </si>
  <si>
    <t>4.2: Development of Co-operation and Infrastructure in the Fields of Education, Training and Science</t>
  </si>
  <si>
    <t>5.    Sustainable Spatial and Environmental Development</t>
  </si>
  <si>
    <t>5.1: Resource Management, Technical Infrastructure and Renewable Energy Supply</t>
  </si>
  <si>
    <t>5.2: Measures for Nature and Environmental Protection including National and Nature Parks</t>
  </si>
  <si>
    <t>5.3: Cross-border Spatial Development in Rural and Urban Areas</t>
  </si>
  <si>
    <t>6.</t>
  </si>
  <si>
    <t>Special Support for Border Regions</t>
  </si>
  <si>
    <t>6.1. Special Support for Border Regions</t>
  </si>
  <si>
    <t xml:space="preserve">    Technical Assistance</t>
  </si>
  <si>
    <t xml:space="preserve"> Technical Assistance I</t>
  </si>
  <si>
    <t xml:space="preserve"> Technical Assistance II</t>
  </si>
  <si>
    <t>TOTAL</t>
  </si>
  <si>
    <t>1 The EU-contribution has been calculated on the basis of the total costs.
2 The figures are identical with those in column 12 ("Sonstige") in the Commission Decision of 27.9.2002</t>
  </si>
  <si>
    <t xml:space="preserve">Financing Plan  2004-2006 total (amounts in EURO current prices)
</t>
  </si>
  <si>
    <t xml:space="preserve">Financing Plan  2004 total (amounts in EURO current prices)
</t>
  </si>
  <si>
    <t xml:space="preserve">Financing Plan  2005 total (amounts in EURO current prices)
</t>
  </si>
  <si>
    <t xml:space="preserve">Financing Plan  2006 total (amounts in EURO current prices)
</t>
  </si>
  <si>
    <t>Financial shift 2006</t>
  </si>
  <si>
    <t>Decommittment 2004</t>
  </si>
  <si>
    <t>decomittment 2004 shift 2006</t>
  </si>
  <si>
    <t>Príloha č. 3  INTERREG IIIA Slovakia 2004-2006</t>
  </si>
  <si>
    <t>financial shift  (+ decomittment 2004)</t>
  </si>
  <si>
    <t>INTERREG IIIA Slovakia 2004-2006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</si>
</sst>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%"/>
  </numFmts>
  <fonts count="1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0"/>
      <color indexed="17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7"/>
      <color indexed="17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NumberFormat="1" applyFont="1" applyBorder="1" applyAlignment="1">
      <alignment horizontal="centerContinuous" vertical="center"/>
    </xf>
    <xf numFmtId="0" fontId="1" fillId="0" borderId="0" xfId="0" applyNumberFormat="1" applyFont="1" applyFill="1" applyBorder="1" applyAlignment="1">
      <alignment horizontal="centerContinuous" vertical="center" wrapText="1"/>
    </xf>
    <xf numFmtId="0" fontId="2" fillId="0" borderId="0" xfId="0" applyNumberFormat="1" applyFont="1" applyFill="1" applyBorder="1" applyAlignment="1">
      <alignment horizontal="centerContinuous" vertical="center"/>
    </xf>
    <xf numFmtId="0" fontId="3" fillId="0" borderId="1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centerContinuous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Continuous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Continuous"/>
    </xf>
    <xf numFmtId="0" fontId="4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Continuous"/>
    </xf>
    <xf numFmtId="0" fontId="4" fillId="0" borderId="2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Continuous" wrapText="1"/>
    </xf>
    <xf numFmtId="0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wrapText="1"/>
    </xf>
    <xf numFmtId="3" fontId="8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0" fontId="0" fillId="0" borderId="3" xfId="0" applyBorder="1" applyAlignment="1">
      <alignment/>
    </xf>
    <xf numFmtId="3" fontId="0" fillId="0" borderId="0" xfId="0" applyNumberFormat="1" applyAlignment="1">
      <alignment/>
    </xf>
    <xf numFmtId="9" fontId="8" fillId="0" borderId="0" xfId="0" applyNumberFormat="1" applyFont="1" applyBorder="1" applyAlignment="1">
      <alignment horizontal="right"/>
    </xf>
    <xf numFmtId="9" fontId="8" fillId="0" borderId="2" xfId="0" applyNumberFormat="1" applyFont="1" applyBorder="1" applyAlignment="1">
      <alignment horizontal="right"/>
    </xf>
    <xf numFmtId="10" fontId="8" fillId="0" borderId="0" xfId="0" applyNumberFormat="1" applyFont="1" applyBorder="1" applyAlignment="1">
      <alignment horizontal="right"/>
    </xf>
    <xf numFmtId="9" fontId="7" fillId="0" borderId="0" xfId="19" applyNumberFormat="1" applyFont="1" applyBorder="1" applyAlignment="1">
      <alignment horizontal="right"/>
    </xf>
    <xf numFmtId="9" fontId="8" fillId="0" borderId="0" xfId="19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9" fontId="7" fillId="0" borderId="1" xfId="19" applyNumberFormat="1" applyFont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0" fontId="10" fillId="0" borderId="0" xfId="0" applyNumberFormat="1" applyFont="1" applyBorder="1" applyAlignment="1">
      <alignment horizontal="centerContinuous" vertical="center"/>
    </xf>
    <xf numFmtId="0" fontId="11" fillId="0" borderId="0" xfId="0" applyNumberFormat="1" applyFont="1" applyBorder="1" applyAlignment="1">
      <alignment horizontal="centerContinuous" vertical="center"/>
    </xf>
    <xf numFmtId="0" fontId="12" fillId="0" borderId="0" xfId="0" applyFont="1" applyAlignment="1">
      <alignment/>
    </xf>
    <xf numFmtId="0" fontId="10" fillId="0" borderId="0" xfId="0" applyNumberFormat="1" applyFont="1" applyFill="1" applyBorder="1" applyAlignment="1">
      <alignment horizontal="centerContinuous" vertical="center" wrapText="1"/>
    </xf>
    <xf numFmtId="0" fontId="11" fillId="0" borderId="0" xfId="0" applyNumberFormat="1" applyFont="1" applyFill="1" applyBorder="1" applyAlignment="1">
      <alignment horizontal="centerContinuous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14" fillId="0" borderId="0" xfId="0" applyNumberFormat="1" applyFont="1" applyBorder="1" applyAlignment="1">
      <alignment horizontal="centerContinuous"/>
    </xf>
    <xf numFmtId="0" fontId="14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right"/>
    </xf>
    <xf numFmtId="9" fontId="13" fillId="0" borderId="0" xfId="19" applyNumberFormat="1" applyFont="1" applyBorder="1" applyAlignment="1">
      <alignment horizontal="right"/>
    </xf>
    <xf numFmtId="0" fontId="15" fillId="0" borderId="0" xfId="0" applyNumberFormat="1" applyFont="1" applyBorder="1" applyAlignment="1">
      <alignment wrapText="1"/>
    </xf>
    <xf numFmtId="3" fontId="14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3" fontId="16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8" fillId="2" borderId="0" xfId="0" applyNumberFormat="1" applyFont="1" applyFill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/>
    </xf>
    <xf numFmtId="4" fontId="8" fillId="2" borderId="2" xfId="0" applyNumberFormat="1" applyFont="1" applyFill="1" applyBorder="1" applyAlignment="1">
      <alignment horizontal="right"/>
    </xf>
    <xf numFmtId="4" fontId="16" fillId="0" borderId="2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8" fillId="2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/>
    </xf>
    <xf numFmtId="0" fontId="13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centerContinuous" wrapText="1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5" fillId="0" borderId="0" xfId="0" applyNumberFormat="1" applyFont="1" applyBorder="1" applyAlignment="1">
      <alignment horizontal="left" wrapText="1"/>
    </xf>
    <xf numFmtId="0" fontId="18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wrapText="1"/>
    </xf>
    <xf numFmtId="0" fontId="17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workbookViewId="0" topLeftCell="A1">
      <selection activeCell="A1" sqref="A1:Q31"/>
    </sheetView>
  </sheetViews>
  <sheetFormatPr defaultColWidth="9.140625" defaultRowHeight="12.75"/>
  <cols>
    <col min="1" max="1" width="2.7109375" style="0" customWidth="1"/>
    <col min="2" max="2" width="43.421875" style="0" customWidth="1"/>
    <col min="3" max="5" width="11.57421875" style="0" bestFit="1" customWidth="1"/>
    <col min="6" max="6" width="7.421875" style="0" customWidth="1"/>
    <col min="7" max="9" width="11.57421875" style="0" bestFit="1" customWidth="1"/>
    <col min="10" max="16384" width="11.00390625" style="0" customWidth="1"/>
  </cols>
  <sheetData>
    <row r="1" spans="1:17" s="44" customFormat="1" ht="15">
      <c r="A1" s="42"/>
      <c r="B1" s="69"/>
      <c r="C1" s="43"/>
      <c r="D1" s="43"/>
      <c r="E1" s="43"/>
      <c r="F1" s="43"/>
      <c r="G1" s="43"/>
      <c r="H1" s="43"/>
      <c r="I1" s="43"/>
      <c r="J1" s="70"/>
      <c r="K1" s="70"/>
      <c r="L1" s="70"/>
      <c r="M1" s="70"/>
      <c r="N1" s="70"/>
      <c r="O1" s="70"/>
      <c r="P1" s="70"/>
      <c r="Q1" s="70"/>
    </row>
    <row r="2" spans="1:17" s="44" customFormat="1" ht="15">
      <c r="A2" s="1" t="s">
        <v>49</v>
      </c>
      <c r="B2" s="2"/>
      <c r="C2" s="3"/>
      <c r="D2" s="3"/>
      <c r="E2" s="3"/>
      <c r="F2" s="3"/>
      <c r="G2" s="3"/>
      <c r="H2" s="3"/>
      <c r="I2" s="3"/>
      <c r="J2"/>
      <c r="K2" s="3"/>
      <c r="L2" s="3"/>
      <c r="M2" s="3"/>
      <c r="N2" s="3"/>
      <c r="O2" s="3"/>
      <c r="P2" s="3"/>
      <c r="Q2" s="3"/>
    </row>
    <row r="3" spans="1:17" s="44" customFormat="1" ht="30.75">
      <c r="A3" s="4" t="s">
        <v>42</v>
      </c>
      <c r="B3" s="2"/>
      <c r="C3" s="5"/>
      <c r="D3" s="5"/>
      <c r="E3" s="5"/>
      <c r="F3" s="5"/>
      <c r="G3" s="5"/>
      <c r="H3" s="5"/>
      <c r="I3" s="5"/>
      <c r="J3"/>
      <c r="K3" s="5"/>
      <c r="L3" s="5"/>
      <c r="M3" s="5"/>
      <c r="N3" s="5"/>
      <c r="O3" s="5"/>
      <c r="P3" s="5"/>
      <c r="Q3" s="5"/>
    </row>
    <row r="4" spans="1:17" s="44" customFormat="1" ht="13.5" thickBot="1">
      <c r="A4" s="78" t="s">
        <v>50</v>
      </c>
      <c r="B4" s="78"/>
      <c r="C4" s="78"/>
      <c r="D4" s="78"/>
      <c r="E4" s="78"/>
      <c r="F4" s="78"/>
      <c r="G4" s="78"/>
      <c r="H4" s="78"/>
      <c r="I4" s="78"/>
      <c r="J4"/>
      <c r="K4" s="79"/>
      <c r="L4" s="79"/>
      <c r="M4" s="79"/>
      <c r="N4" s="79"/>
      <c r="O4" s="79"/>
      <c r="P4" s="79"/>
      <c r="Q4" s="79"/>
    </row>
    <row r="5" spans="1:17" s="44" customFormat="1" ht="21.75">
      <c r="A5" s="6"/>
      <c r="B5" s="6"/>
      <c r="C5" s="7"/>
      <c r="D5" s="7" t="s">
        <v>3</v>
      </c>
      <c r="E5" s="8" t="s">
        <v>4</v>
      </c>
      <c r="F5" s="8"/>
      <c r="G5" s="9" t="s">
        <v>0</v>
      </c>
      <c r="H5" s="9" t="s">
        <v>5</v>
      </c>
      <c r="I5" s="7" t="s">
        <v>1</v>
      </c>
      <c r="J5"/>
      <c r="K5" s="7"/>
      <c r="L5" s="7" t="s">
        <v>3</v>
      </c>
      <c r="M5" s="8" t="s">
        <v>4</v>
      </c>
      <c r="N5" s="8"/>
      <c r="O5" s="9" t="s">
        <v>0</v>
      </c>
      <c r="P5" s="9" t="s">
        <v>5</v>
      </c>
      <c r="Q5" s="7" t="s">
        <v>1</v>
      </c>
    </row>
    <row r="6" spans="1:17" s="44" customFormat="1" ht="12.75">
      <c r="A6" s="10"/>
      <c r="B6" s="11"/>
      <c r="C6" s="12" t="s">
        <v>6</v>
      </c>
      <c r="D6" s="13" t="s">
        <v>7</v>
      </c>
      <c r="E6" s="14" t="s">
        <v>8</v>
      </c>
      <c r="F6" s="14" t="s">
        <v>9</v>
      </c>
      <c r="G6" s="13" t="s">
        <v>7</v>
      </c>
      <c r="H6" s="13" t="s">
        <v>10</v>
      </c>
      <c r="I6" s="13" t="s">
        <v>2</v>
      </c>
      <c r="J6"/>
      <c r="K6" s="12" t="s">
        <v>6</v>
      </c>
      <c r="L6" s="13" t="s">
        <v>7</v>
      </c>
      <c r="M6" s="14" t="s">
        <v>8</v>
      </c>
      <c r="N6" s="14" t="s">
        <v>9</v>
      </c>
      <c r="O6" s="13" t="s">
        <v>7</v>
      </c>
      <c r="P6" s="13" t="s">
        <v>10</v>
      </c>
      <c r="Q6" s="13" t="s">
        <v>2</v>
      </c>
    </row>
    <row r="7" spans="1:17" s="44" customFormat="1" ht="12.75">
      <c r="A7" s="15"/>
      <c r="B7" s="15"/>
      <c r="C7" s="16" t="s">
        <v>11</v>
      </c>
      <c r="D7" s="17" t="s">
        <v>12</v>
      </c>
      <c r="E7" s="18" t="s">
        <v>13</v>
      </c>
      <c r="F7" s="18"/>
      <c r="G7" s="17" t="s">
        <v>14</v>
      </c>
      <c r="H7" s="17" t="s">
        <v>15</v>
      </c>
      <c r="I7" s="19" t="s">
        <v>16</v>
      </c>
      <c r="J7"/>
      <c r="K7" s="16" t="s">
        <v>11</v>
      </c>
      <c r="L7" s="17" t="s">
        <v>12</v>
      </c>
      <c r="M7" s="18" t="s">
        <v>13</v>
      </c>
      <c r="N7" s="18"/>
      <c r="O7" s="17" t="s">
        <v>14</v>
      </c>
      <c r="P7" s="17" t="s">
        <v>15</v>
      </c>
      <c r="Q7" s="19" t="s">
        <v>16</v>
      </c>
    </row>
    <row r="8" spans="1:17" s="44" customFormat="1" ht="12.75">
      <c r="A8" s="20" t="s">
        <v>17</v>
      </c>
      <c r="B8" s="21"/>
      <c r="C8" s="22">
        <f>'2004'!C7+'2005'!C7+'2006'!C7</f>
        <v>2851398.32</v>
      </c>
      <c r="D8" s="22">
        <f>'2004'!D7+'2005'!D7+'2006'!D7</f>
        <v>2708780.54</v>
      </c>
      <c r="E8" s="22">
        <f>'2004'!E7+'2005'!E7+'2006'!E7</f>
        <v>2138549.49</v>
      </c>
      <c r="F8" s="22"/>
      <c r="G8" s="22">
        <f>'2004'!G7+'2005'!G7+'2006'!G7</f>
        <v>712848.83</v>
      </c>
      <c r="H8" s="22">
        <f>'2004'!H7+'2005'!H7+'2006'!H7</f>
        <v>570231.05</v>
      </c>
      <c r="I8" s="22">
        <f>'2004'!I7+'2005'!I7+'2006'!I7</f>
        <v>142617.78</v>
      </c>
      <c r="J8"/>
      <c r="K8" s="67">
        <f aca="true" t="shared" si="0" ref="K8:K30">C8-C69</f>
        <v>2851398.32</v>
      </c>
      <c r="L8" s="67">
        <f aca="true" t="shared" si="1" ref="L8:L30">D8-D69</f>
        <v>2708780.54</v>
      </c>
      <c r="M8" s="67">
        <f aca="true" t="shared" si="2" ref="M8:M30">E8-E69</f>
        <v>2138549.49</v>
      </c>
      <c r="N8" s="67">
        <f aca="true" t="shared" si="3" ref="N8:N30">F8-F69</f>
        <v>0</v>
      </c>
      <c r="O8" s="67">
        <f aca="true" t="shared" si="4" ref="O8:O30">G8-G69</f>
        <v>712848.83</v>
      </c>
      <c r="P8" s="67">
        <f aca="true" t="shared" si="5" ref="P8:P30">H8-H69</f>
        <v>570231.05</v>
      </c>
      <c r="Q8" s="67">
        <f aca="true" t="shared" si="6" ref="Q8:Q30">I8-I69</f>
        <v>142617.78</v>
      </c>
    </row>
    <row r="9" spans="1:17" s="44" customFormat="1" ht="18.75">
      <c r="A9" s="23"/>
      <c r="B9" s="23" t="s">
        <v>18</v>
      </c>
      <c r="C9" s="24">
        <f>'2004'!C8+'2005'!C8+'2006'!C8</f>
        <v>1012485</v>
      </c>
      <c r="D9" s="24">
        <f>'2004'!D8+'2005'!D8+'2006'!D8</f>
        <v>961861</v>
      </c>
      <c r="E9" s="24">
        <f>'2004'!E8+'2005'!E8+'2006'!E8</f>
        <v>759364</v>
      </c>
      <c r="F9" s="24"/>
      <c r="G9" s="24">
        <f>'2004'!G8+'2005'!G8+'2006'!G8</f>
        <v>253121</v>
      </c>
      <c r="H9" s="24">
        <f>'2004'!H8+'2005'!H8+'2006'!H8</f>
        <v>202497</v>
      </c>
      <c r="I9" s="24">
        <f>'2004'!I8+'2005'!I8+'2006'!I8</f>
        <v>50624</v>
      </c>
      <c r="J9"/>
      <c r="K9" s="63">
        <f t="shared" si="0"/>
        <v>1012485</v>
      </c>
      <c r="L9" s="63">
        <f t="shared" si="1"/>
        <v>961861</v>
      </c>
      <c r="M9" s="63">
        <f t="shared" si="2"/>
        <v>759364</v>
      </c>
      <c r="N9" s="63">
        <f t="shared" si="3"/>
        <v>0</v>
      </c>
      <c r="O9" s="63">
        <f t="shared" si="4"/>
        <v>253121</v>
      </c>
      <c r="P9" s="63">
        <f t="shared" si="5"/>
        <v>202497</v>
      </c>
      <c r="Q9" s="63">
        <f t="shared" si="6"/>
        <v>50624</v>
      </c>
    </row>
    <row r="10" spans="1:17" s="44" customFormat="1" ht="18.75">
      <c r="A10" s="23"/>
      <c r="B10" s="23" t="s">
        <v>19</v>
      </c>
      <c r="C10" s="24">
        <f>'2004'!C9+'2005'!C9+'2006'!C9</f>
        <v>826732.32</v>
      </c>
      <c r="D10" s="24">
        <f>'2004'!D9+'2005'!D9+'2006'!D9</f>
        <v>785347.54</v>
      </c>
      <c r="E10" s="24">
        <f>'2004'!E9+'2005'!E9+'2006'!E9</f>
        <v>620049.49</v>
      </c>
      <c r="F10" s="24"/>
      <c r="G10" s="24">
        <f>'2004'!G9+'2005'!G9+'2006'!G9</f>
        <v>206682.83</v>
      </c>
      <c r="H10" s="24">
        <f>'2004'!H9+'2005'!H9+'2006'!H9</f>
        <v>165298.05</v>
      </c>
      <c r="I10" s="24">
        <f>'2004'!I9+'2005'!I9+'2006'!I9</f>
        <v>41384.78</v>
      </c>
      <c r="J10"/>
      <c r="K10" s="63">
        <f t="shared" si="0"/>
        <v>826732.32</v>
      </c>
      <c r="L10" s="63">
        <f t="shared" si="1"/>
        <v>785347.54</v>
      </c>
      <c r="M10" s="63">
        <f t="shared" si="2"/>
        <v>620049.49</v>
      </c>
      <c r="N10" s="63">
        <f t="shared" si="3"/>
        <v>0</v>
      </c>
      <c r="O10" s="63">
        <f t="shared" si="4"/>
        <v>206682.83</v>
      </c>
      <c r="P10" s="63">
        <f t="shared" si="5"/>
        <v>165298.05</v>
      </c>
      <c r="Q10" s="63">
        <f t="shared" si="6"/>
        <v>41384.78</v>
      </c>
    </row>
    <row r="11" spans="1:17" s="44" customFormat="1" ht="12.75">
      <c r="A11" s="25"/>
      <c r="B11" s="23" t="s">
        <v>20</v>
      </c>
      <c r="C11" s="24">
        <f>'2004'!C10+'2005'!C10+'2006'!C10</f>
        <v>1012181</v>
      </c>
      <c r="D11" s="24">
        <f>'2004'!D10+'2005'!D10+'2006'!D10</f>
        <v>961572</v>
      </c>
      <c r="E11" s="24">
        <f>'2004'!E10+'2005'!E10+'2006'!E10</f>
        <v>759136</v>
      </c>
      <c r="F11" s="24"/>
      <c r="G11" s="24">
        <f>'2004'!G10+'2005'!G10+'2006'!G10</f>
        <v>253045</v>
      </c>
      <c r="H11" s="24">
        <f>'2004'!H10+'2005'!H10+'2006'!H10</f>
        <v>202436</v>
      </c>
      <c r="I11" s="24">
        <f>'2004'!I10+'2005'!I10+'2006'!I10</f>
        <v>50609</v>
      </c>
      <c r="J11"/>
      <c r="K11" s="63">
        <f t="shared" si="0"/>
        <v>1012181</v>
      </c>
      <c r="L11" s="63">
        <f t="shared" si="1"/>
        <v>961572</v>
      </c>
      <c r="M11" s="63">
        <f t="shared" si="2"/>
        <v>759136</v>
      </c>
      <c r="N11" s="63">
        <f t="shared" si="3"/>
        <v>0</v>
      </c>
      <c r="O11" s="63">
        <f t="shared" si="4"/>
        <v>253045</v>
      </c>
      <c r="P11" s="63">
        <f t="shared" si="5"/>
        <v>202436</v>
      </c>
      <c r="Q11" s="63">
        <f t="shared" si="6"/>
        <v>50609</v>
      </c>
    </row>
    <row r="12" spans="1:17" s="44" customFormat="1" ht="12.75">
      <c r="A12" s="26" t="s">
        <v>21</v>
      </c>
      <c r="B12" s="26"/>
      <c r="C12" s="22">
        <f>'2004'!C11+'2005'!C11+'2006'!C11</f>
        <v>2051162.51</v>
      </c>
      <c r="D12" s="22">
        <f>'2004'!D11+'2005'!D11+'2006'!D11</f>
        <v>1948608.67</v>
      </c>
      <c r="E12" s="22">
        <f>'2004'!E11+'2005'!E11+'2006'!E11</f>
        <v>1538371.13</v>
      </c>
      <c r="F12" s="22"/>
      <c r="G12" s="22">
        <f>'2004'!G11+'2005'!G11+'2006'!G11</f>
        <v>512791.38</v>
      </c>
      <c r="H12" s="22">
        <f>'2004'!H11+'2005'!H11+'2006'!H11</f>
        <v>410237.54000000004</v>
      </c>
      <c r="I12" s="22">
        <f>'2004'!I11+'2005'!I11+'2006'!I11</f>
        <v>102553.84</v>
      </c>
      <c r="J12"/>
      <c r="K12" s="67">
        <f t="shared" si="0"/>
        <v>2051162.51</v>
      </c>
      <c r="L12" s="67">
        <f t="shared" si="1"/>
        <v>1948608.67</v>
      </c>
      <c r="M12" s="67">
        <f t="shared" si="2"/>
        <v>1538371.13</v>
      </c>
      <c r="N12" s="67">
        <f t="shared" si="3"/>
        <v>0</v>
      </c>
      <c r="O12" s="67">
        <f t="shared" si="4"/>
        <v>512791.38</v>
      </c>
      <c r="P12" s="67">
        <f t="shared" si="5"/>
        <v>410237.54000000004</v>
      </c>
      <c r="Q12" s="67">
        <f t="shared" si="6"/>
        <v>102553.84</v>
      </c>
    </row>
    <row r="13" spans="1:17" s="44" customFormat="1" ht="18.75">
      <c r="A13" s="23"/>
      <c r="B13" s="23" t="s">
        <v>22</v>
      </c>
      <c r="C13" s="24">
        <f>'2004'!C12+'2005'!C12+'2006'!C12</f>
        <v>784495.51</v>
      </c>
      <c r="D13" s="24">
        <f>'2004'!D12+'2005'!D12+'2006'!D12</f>
        <v>745274.67</v>
      </c>
      <c r="E13" s="24">
        <f>'2004'!E12+'2005'!E12+'2006'!E12</f>
        <v>588371.13</v>
      </c>
      <c r="F13" s="24"/>
      <c r="G13" s="24">
        <f>'2004'!G12+'2005'!G12+'2006'!G12</f>
        <v>196124.38</v>
      </c>
      <c r="H13" s="24">
        <f>'2004'!H12+'2005'!H12+'2006'!H12</f>
        <v>156903.54</v>
      </c>
      <c r="I13" s="24">
        <f>'2004'!I12+'2005'!I12+'2006'!I12</f>
        <v>39220.84</v>
      </c>
      <c r="J13"/>
      <c r="K13" s="63">
        <f t="shared" si="0"/>
        <v>784495.51</v>
      </c>
      <c r="L13" s="63">
        <f t="shared" si="1"/>
        <v>745274.67</v>
      </c>
      <c r="M13" s="63">
        <f t="shared" si="2"/>
        <v>588371.13</v>
      </c>
      <c r="N13" s="63">
        <f t="shared" si="3"/>
        <v>0</v>
      </c>
      <c r="O13" s="63">
        <f t="shared" si="4"/>
        <v>196124.38</v>
      </c>
      <c r="P13" s="63">
        <f t="shared" si="5"/>
        <v>156903.54</v>
      </c>
      <c r="Q13" s="63">
        <f t="shared" si="6"/>
        <v>39220.84</v>
      </c>
    </row>
    <row r="14" spans="1:17" s="44" customFormat="1" ht="12.75">
      <c r="A14" s="23"/>
      <c r="B14" s="23" t="s">
        <v>23</v>
      </c>
      <c r="C14" s="24">
        <f>'2004'!C13+'2005'!C13+'2006'!C13</f>
        <v>1266667</v>
      </c>
      <c r="D14" s="24">
        <f>'2004'!D13+'2005'!D13+'2006'!D13</f>
        <v>1203334</v>
      </c>
      <c r="E14" s="24">
        <f>'2004'!E13+'2005'!E13+'2006'!E13</f>
        <v>950000</v>
      </c>
      <c r="F14" s="24"/>
      <c r="G14" s="24">
        <f>'2004'!G13+'2005'!G13+'2006'!G13</f>
        <v>316667</v>
      </c>
      <c r="H14" s="24">
        <f>'2004'!H13+'2005'!H13+'2006'!H13</f>
        <v>253334</v>
      </c>
      <c r="I14" s="24">
        <f>'2004'!I13+'2005'!I13+'2006'!I13</f>
        <v>63333</v>
      </c>
      <c r="J14"/>
      <c r="K14" s="63">
        <f t="shared" si="0"/>
        <v>1266667</v>
      </c>
      <c r="L14" s="63">
        <f t="shared" si="1"/>
        <v>1203334</v>
      </c>
      <c r="M14" s="63">
        <f t="shared" si="2"/>
        <v>950000</v>
      </c>
      <c r="N14" s="63">
        <f t="shared" si="3"/>
        <v>0</v>
      </c>
      <c r="O14" s="63">
        <f t="shared" si="4"/>
        <v>316667</v>
      </c>
      <c r="P14" s="63">
        <f t="shared" si="5"/>
        <v>253334</v>
      </c>
      <c r="Q14" s="63">
        <f t="shared" si="6"/>
        <v>63333</v>
      </c>
    </row>
    <row r="15" spans="1:17" s="44" customFormat="1" ht="12.75">
      <c r="A15" s="26" t="s">
        <v>24</v>
      </c>
      <c r="B15" s="26"/>
      <c r="C15" s="22">
        <f>'2004'!C14+'2005'!C14+'2006'!C14</f>
        <v>1836493.77</v>
      </c>
      <c r="D15" s="22">
        <f>'2004'!D14+'2005'!D14+'2006'!D14</f>
        <v>1744624.67</v>
      </c>
      <c r="E15" s="22">
        <f>'2004'!E14+'2005'!E14+'2006'!E14</f>
        <v>1377371.08</v>
      </c>
      <c r="F15" s="22"/>
      <c r="G15" s="22">
        <f>'2004'!G14+'2005'!G14+'2006'!G14</f>
        <v>459122.69</v>
      </c>
      <c r="H15" s="22">
        <f>'2004'!H14+'2005'!H14+'2006'!H14</f>
        <v>367253.58999999997</v>
      </c>
      <c r="I15" s="22">
        <f>'2004'!I14+'2005'!I14+'2006'!I14</f>
        <v>91869.1</v>
      </c>
      <c r="J15"/>
      <c r="K15" s="67">
        <f t="shared" si="0"/>
        <v>1836493.77</v>
      </c>
      <c r="L15" s="67">
        <f t="shared" si="1"/>
        <v>1744624.67</v>
      </c>
      <c r="M15" s="67">
        <f t="shared" si="2"/>
        <v>1377371.08</v>
      </c>
      <c r="N15" s="67">
        <f t="shared" si="3"/>
        <v>0</v>
      </c>
      <c r="O15" s="67">
        <f t="shared" si="4"/>
        <v>459122.69</v>
      </c>
      <c r="P15" s="67">
        <f t="shared" si="5"/>
        <v>367253.58999999997</v>
      </c>
      <c r="Q15" s="63">
        <f t="shared" si="6"/>
        <v>91869.1</v>
      </c>
    </row>
    <row r="16" spans="1:17" s="44" customFormat="1" ht="18.75">
      <c r="A16" s="23"/>
      <c r="B16" s="23" t="s">
        <v>25</v>
      </c>
      <c r="C16" s="24">
        <f>'2004'!C15+'2005'!C15+'2006'!C15</f>
        <v>729842.85</v>
      </c>
      <c r="D16" s="24">
        <f>'2004'!D15+'2005'!D15+'2006'!D15</f>
        <v>693321.48</v>
      </c>
      <c r="E16" s="24">
        <f>'2004'!E15+'2005'!E15+'2006'!E15</f>
        <v>547382.39</v>
      </c>
      <c r="F16" s="24"/>
      <c r="G16" s="24">
        <f>'2004'!G15+'2005'!G15+'2006'!G15</f>
        <v>182460.46</v>
      </c>
      <c r="H16" s="24">
        <f>'2004'!H15+'2005'!H15+'2006'!H15</f>
        <v>145939.09</v>
      </c>
      <c r="I16" s="24">
        <f>'2004'!I15+'2005'!I15+'2006'!I15</f>
        <v>36521.369999999995</v>
      </c>
      <c r="J16"/>
      <c r="K16" s="63">
        <f t="shared" si="0"/>
        <v>729842.85</v>
      </c>
      <c r="L16" s="63">
        <f t="shared" si="1"/>
        <v>693321.48</v>
      </c>
      <c r="M16" s="63">
        <f t="shared" si="2"/>
        <v>547382.39</v>
      </c>
      <c r="N16" s="63">
        <f t="shared" si="3"/>
        <v>0</v>
      </c>
      <c r="O16" s="63">
        <f t="shared" si="4"/>
        <v>182460.46</v>
      </c>
      <c r="P16" s="63">
        <f t="shared" si="5"/>
        <v>145939.09</v>
      </c>
      <c r="Q16" s="63">
        <f t="shared" si="6"/>
        <v>36521.369999999995</v>
      </c>
    </row>
    <row r="17" spans="1:17" s="44" customFormat="1" ht="12.75">
      <c r="A17" s="25"/>
      <c r="B17" s="25" t="s">
        <v>26</v>
      </c>
      <c r="C17" s="24">
        <f>'2004'!C16+'2005'!C16+'2006'!C16</f>
        <v>1106650.92</v>
      </c>
      <c r="D17" s="24">
        <f>'2004'!D16+'2005'!D16+'2006'!D16</f>
        <v>1051303.19</v>
      </c>
      <c r="E17" s="24">
        <f>'2004'!E16+'2005'!E16+'2006'!E16</f>
        <v>829988.69</v>
      </c>
      <c r="F17" s="24"/>
      <c r="G17" s="24">
        <f>'2004'!G16+'2005'!G16+'2006'!G16</f>
        <v>276662.23</v>
      </c>
      <c r="H17" s="24">
        <f>'2004'!H16+'2005'!H16+'2006'!H16</f>
        <v>221314.5</v>
      </c>
      <c r="I17" s="24">
        <f>'2004'!I16+'2005'!I16+'2006'!I16</f>
        <v>55347.729999999996</v>
      </c>
      <c r="J17"/>
      <c r="K17" s="63">
        <f t="shared" si="0"/>
        <v>1106650.92</v>
      </c>
      <c r="L17" s="63">
        <f t="shared" si="1"/>
        <v>1051303.19</v>
      </c>
      <c r="M17" s="63">
        <f t="shared" si="2"/>
        <v>829988.69</v>
      </c>
      <c r="N17" s="63">
        <f t="shared" si="3"/>
        <v>0</v>
      </c>
      <c r="O17" s="63">
        <f t="shared" si="4"/>
        <v>276662.23</v>
      </c>
      <c r="P17" s="63">
        <f t="shared" si="5"/>
        <v>221314.5</v>
      </c>
      <c r="Q17" s="63">
        <f t="shared" si="6"/>
        <v>55347.729999999996</v>
      </c>
    </row>
    <row r="18" spans="1:17" s="44" customFormat="1" ht="12.75">
      <c r="A18" s="26" t="s">
        <v>27</v>
      </c>
      <c r="B18" s="26"/>
      <c r="C18" s="22">
        <f>'2004'!C17+'2005'!C17+'2006'!C17</f>
        <v>1457146.6400000001</v>
      </c>
      <c r="D18" s="22">
        <f>'2004'!D17+'2005'!D17+'2006'!D17</f>
        <v>1384209.65</v>
      </c>
      <c r="E18" s="22">
        <f>'2004'!E17+'2005'!E17+'2006'!E17</f>
        <v>1092859.98</v>
      </c>
      <c r="F18" s="22"/>
      <c r="G18" s="22">
        <f>'2004'!G17+'2005'!G17+'2006'!G17</f>
        <v>364286.66000000003</v>
      </c>
      <c r="H18" s="22">
        <f>'2004'!H17+'2005'!H17+'2006'!H17</f>
        <v>291349.67</v>
      </c>
      <c r="I18" s="22">
        <f>'2004'!I17+'2005'!I17+'2006'!I17</f>
        <v>72936.98999999999</v>
      </c>
      <c r="J18"/>
      <c r="K18" s="67">
        <f t="shared" si="0"/>
        <v>1457146.6400000001</v>
      </c>
      <c r="L18" s="67">
        <f t="shared" si="1"/>
        <v>1384209.65</v>
      </c>
      <c r="M18" s="67">
        <f t="shared" si="2"/>
        <v>1092859.98</v>
      </c>
      <c r="N18" s="67">
        <f t="shared" si="3"/>
        <v>0</v>
      </c>
      <c r="O18" s="67">
        <f t="shared" si="4"/>
        <v>364286.66000000003</v>
      </c>
      <c r="P18" s="67">
        <f t="shared" si="5"/>
        <v>291349.67</v>
      </c>
      <c r="Q18" s="67">
        <f t="shared" si="6"/>
        <v>72936.98999999999</v>
      </c>
    </row>
    <row r="19" spans="1:17" s="44" customFormat="1" ht="18.75">
      <c r="A19" s="23"/>
      <c r="B19" s="23" t="s">
        <v>28</v>
      </c>
      <c r="C19" s="24">
        <f>'2004'!C18+'2005'!C18+'2006'!C18</f>
        <v>381334</v>
      </c>
      <c r="D19" s="24">
        <f>'2004'!D18+'2005'!D18+'2006'!D18</f>
        <v>362267</v>
      </c>
      <c r="E19" s="24">
        <f>'2004'!E18+'2005'!E18+'2006'!E18</f>
        <v>286000</v>
      </c>
      <c r="F19" s="24"/>
      <c r="G19" s="24">
        <f>'2004'!G18+'2005'!G18+'2006'!G18</f>
        <v>95334</v>
      </c>
      <c r="H19" s="24">
        <f>'2004'!H18+'2005'!H18+'2006'!H18</f>
        <v>76267</v>
      </c>
      <c r="I19" s="24">
        <f>'2004'!I18+'2005'!I18+'2006'!I18</f>
        <v>19067</v>
      </c>
      <c r="J19"/>
      <c r="K19" s="63">
        <f t="shared" si="0"/>
        <v>381334</v>
      </c>
      <c r="L19" s="63">
        <f t="shared" si="1"/>
        <v>362267</v>
      </c>
      <c r="M19" s="63">
        <f t="shared" si="2"/>
        <v>286000</v>
      </c>
      <c r="N19" s="63">
        <f t="shared" si="3"/>
        <v>0</v>
      </c>
      <c r="O19" s="63">
        <f t="shared" si="4"/>
        <v>95334</v>
      </c>
      <c r="P19" s="63">
        <f t="shared" si="5"/>
        <v>76267</v>
      </c>
      <c r="Q19" s="63">
        <f t="shared" si="6"/>
        <v>19067</v>
      </c>
    </row>
    <row r="20" spans="1:17" s="44" customFormat="1" ht="18.75">
      <c r="A20" s="23"/>
      <c r="B20" s="23" t="s">
        <v>29</v>
      </c>
      <c r="C20" s="24">
        <f>'2004'!C19+'2005'!C19+'2006'!C19</f>
        <v>1075812.6400000001</v>
      </c>
      <c r="D20" s="24">
        <f>'2004'!D19+'2005'!D19+'2006'!D19</f>
        <v>1021942.65</v>
      </c>
      <c r="E20" s="24">
        <f>'2004'!E19+'2005'!E19+'2006'!E19</f>
        <v>806859.98</v>
      </c>
      <c r="F20" s="24"/>
      <c r="G20" s="24">
        <f>'2004'!G19+'2005'!G19+'2006'!G19</f>
        <v>268952.66000000003</v>
      </c>
      <c r="H20" s="24">
        <f>'2004'!H19+'2005'!H19+'2006'!H19</f>
        <v>215082.66999999998</v>
      </c>
      <c r="I20" s="24">
        <f>'2004'!I19+'2005'!I19+'2006'!I19</f>
        <v>53869.99</v>
      </c>
      <c r="J20"/>
      <c r="K20" s="63">
        <f t="shared" si="0"/>
        <v>1075812.6400000001</v>
      </c>
      <c r="L20" s="63">
        <f t="shared" si="1"/>
        <v>1021942.65</v>
      </c>
      <c r="M20" s="63">
        <f t="shared" si="2"/>
        <v>806859.98</v>
      </c>
      <c r="N20" s="63">
        <f t="shared" si="3"/>
        <v>0</v>
      </c>
      <c r="O20" s="63">
        <f t="shared" si="4"/>
        <v>268952.66000000003</v>
      </c>
      <c r="P20" s="63">
        <f t="shared" si="5"/>
        <v>215082.66999999998</v>
      </c>
      <c r="Q20" s="63">
        <f t="shared" si="6"/>
        <v>53869.99</v>
      </c>
    </row>
    <row r="21" spans="1:17" s="44" customFormat="1" ht="12.75">
      <c r="A21" s="26" t="s">
        <v>30</v>
      </c>
      <c r="B21" s="26"/>
      <c r="C21" s="22">
        <f>'2004'!C20+'2005'!C20+'2006'!C20</f>
        <v>2364407.7</v>
      </c>
      <c r="D21" s="22">
        <f>'2004'!D20+'2005'!D20+'2006'!D20</f>
        <v>2246069.08</v>
      </c>
      <c r="E21" s="22">
        <f>'2004'!E20+'2005'!E20+'2006'!E20</f>
        <v>1773305.02</v>
      </c>
      <c r="F21" s="22"/>
      <c r="G21" s="22">
        <f>'2004'!G20+'2005'!G20+'2006'!G20</f>
        <v>591102.6799999999</v>
      </c>
      <c r="H21" s="22">
        <f>'2004'!H20+'2005'!H20+'2006'!H20</f>
        <v>472764.06</v>
      </c>
      <c r="I21" s="22">
        <f>'2004'!I20+'2005'!I20+'2006'!I20</f>
        <v>118338.62</v>
      </c>
      <c r="J21"/>
      <c r="K21" s="67">
        <f t="shared" si="0"/>
        <v>2364407.7</v>
      </c>
      <c r="L21" s="67">
        <f t="shared" si="1"/>
        <v>2246069.08</v>
      </c>
      <c r="M21" s="67">
        <f t="shared" si="2"/>
        <v>1773305.02</v>
      </c>
      <c r="N21" s="67">
        <f t="shared" si="3"/>
        <v>0</v>
      </c>
      <c r="O21" s="67">
        <f t="shared" si="4"/>
        <v>591102.6799999999</v>
      </c>
      <c r="P21" s="67">
        <f t="shared" si="5"/>
        <v>472764.06</v>
      </c>
      <c r="Q21" s="67">
        <f t="shared" si="6"/>
        <v>118338.62</v>
      </c>
    </row>
    <row r="22" spans="1:17" s="44" customFormat="1" ht="18.75">
      <c r="A22" s="23"/>
      <c r="B22" s="23" t="s">
        <v>31</v>
      </c>
      <c r="C22" s="24">
        <f>'2004'!C21+'2005'!C21+'2006'!C21</f>
        <v>1014666</v>
      </c>
      <c r="D22" s="24">
        <f>'2004'!D21+'2005'!D21+'2006'!D21</f>
        <v>963933</v>
      </c>
      <c r="E22" s="24">
        <f>'2004'!E21+'2005'!E21+'2006'!E21</f>
        <v>761000</v>
      </c>
      <c r="F22" s="24"/>
      <c r="G22" s="24">
        <f>'2004'!G21+'2005'!G21+'2006'!G21</f>
        <v>253666</v>
      </c>
      <c r="H22" s="24">
        <f>'2004'!H21+'2005'!H21+'2006'!H21</f>
        <v>202933</v>
      </c>
      <c r="I22" s="24">
        <f>'2004'!I21+'2005'!I21+'2006'!I21</f>
        <v>50733</v>
      </c>
      <c r="J22"/>
      <c r="K22" s="63">
        <f t="shared" si="0"/>
        <v>1014666</v>
      </c>
      <c r="L22" s="63">
        <f t="shared" si="1"/>
        <v>963933</v>
      </c>
      <c r="M22" s="63">
        <f t="shared" si="2"/>
        <v>761000</v>
      </c>
      <c r="N22" s="63">
        <f t="shared" si="3"/>
        <v>0</v>
      </c>
      <c r="O22" s="63">
        <f t="shared" si="4"/>
        <v>253666</v>
      </c>
      <c r="P22" s="63">
        <f t="shared" si="5"/>
        <v>202933</v>
      </c>
      <c r="Q22" s="63">
        <f t="shared" si="6"/>
        <v>50733</v>
      </c>
    </row>
    <row r="23" spans="1:17" s="44" customFormat="1" ht="18.75">
      <c r="A23" s="23"/>
      <c r="B23" s="23" t="s">
        <v>32</v>
      </c>
      <c r="C23" s="24">
        <f>'2004'!C22+'2005'!C22+'2006'!C22</f>
        <v>719073.7</v>
      </c>
      <c r="D23" s="24">
        <f>'2004'!D22+'2005'!D22+'2006'!D22</f>
        <v>683002.0800000001</v>
      </c>
      <c r="E23" s="24">
        <f>'2004'!E22+'2005'!E22+'2006'!E22</f>
        <v>539305.02</v>
      </c>
      <c r="F23" s="24"/>
      <c r="G23" s="24">
        <f>'2004'!G22+'2005'!G22+'2006'!G22</f>
        <v>179768.68</v>
      </c>
      <c r="H23" s="24">
        <f>'2004'!H22+'2005'!H22+'2006'!H22</f>
        <v>143697.06</v>
      </c>
      <c r="I23" s="24">
        <f>'2004'!I22+'2005'!I22+'2006'!I22</f>
        <v>36071.62</v>
      </c>
      <c r="J23"/>
      <c r="K23" s="63">
        <f t="shared" si="0"/>
        <v>719073.7</v>
      </c>
      <c r="L23" s="63">
        <f t="shared" si="1"/>
        <v>683002.0800000001</v>
      </c>
      <c r="M23" s="63">
        <f t="shared" si="2"/>
        <v>539305.02</v>
      </c>
      <c r="N23" s="63">
        <f t="shared" si="3"/>
        <v>0</v>
      </c>
      <c r="O23" s="63">
        <f t="shared" si="4"/>
        <v>179768.68</v>
      </c>
      <c r="P23" s="63">
        <f t="shared" si="5"/>
        <v>143697.06</v>
      </c>
      <c r="Q23" s="63">
        <f t="shared" si="6"/>
        <v>36071.62</v>
      </c>
    </row>
    <row r="24" spans="1:17" s="44" customFormat="1" ht="12.75">
      <c r="A24" s="23"/>
      <c r="B24" s="23" t="s">
        <v>33</v>
      </c>
      <c r="C24" s="24">
        <f>'2004'!C23+'2005'!C23+'2006'!C23</f>
        <v>630668</v>
      </c>
      <c r="D24" s="24">
        <f>'2004'!D23+'2005'!D23+'2006'!D23</f>
        <v>599134</v>
      </c>
      <c r="E24" s="24">
        <f>'2004'!E23+'2005'!E23+'2006'!E23</f>
        <v>473000</v>
      </c>
      <c r="F24" s="24"/>
      <c r="G24" s="24">
        <f>'2004'!G23+'2005'!G23+'2006'!G23</f>
        <v>157668</v>
      </c>
      <c r="H24" s="24">
        <f>'2004'!H23+'2005'!H23+'2006'!H23</f>
        <v>126134</v>
      </c>
      <c r="I24" s="24">
        <f>'2004'!I23+'2005'!I23+'2006'!I23</f>
        <v>31534</v>
      </c>
      <c r="J24"/>
      <c r="K24" s="63">
        <f t="shared" si="0"/>
        <v>630668</v>
      </c>
      <c r="L24" s="63">
        <f t="shared" si="1"/>
        <v>599134</v>
      </c>
      <c r="M24" s="63">
        <f t="shared" si="2"/>
        <v>473000</v>
      </c>
      <c r="N24" s="63">
        <f t="shared" si="3"/>
        <v>0</v>
      </c>
      <c r="O24" s="63">
        <f t="shared" si="4"/>
        <v>157668</v>
      </c>
      <c r="P24" s="63">
        <f t="shared" si="5"/>
        <v>126134</v>
      </c>
      <c r="Q24" s="63">
        <f t="shared" si="6"/>
        <v>31534</v>
      </c>
    </row>
    <row r="25" spans="1:17" s="44" customFormat="1" ht="12.75">
      <c r="A25" s="27" t="s">
        <v>34</v>
      </c>
      <c r="B25" s="27" t="s">
        <v>35</v>
      </c>
      <c r="C25" s="22">
        <f>'2004'!C24+'2005'!C24+'2006'!C24</f>
        <v>0</v>
      </c>
      <c r="D25" s="22">
        <f>'2004'!D24+'2005'!D24+'2006'!D24</f>
        <v>0</v>
      </c>
      <c r="E25" s="22">
        <f>'2004'!E24+'2005'!E24+'2006'!E24</f>
        <v>0</v>
      </c>
      <c r="F25" s="22"/>
      <c r="G25" s="22">
        <f>'2004'!G24+'2005'!G24+'2006'!G24</f>
        <v>0</v>
      </c>
      <c r="H25" s="22">
        <f>'2004'!H24+'2005'!H24+'2006'!H24</f>
        <v>0</v>
      </c>
      <c r="I25" s="22">
        <f>'2004'!I24+'2005'!I24+'2006'!I24</f>
        <v>0</v>
      </c>
      <c r="J25"/>
      <c r="K25" s="63">
        <f t="shared" si="0"/>
        <v>0</v>
      </c>
      <c r="L25" s="63">
        <f t="shared" si="1"/>
        <v>0</v>
      </c>
      <c r="M25" s="63">
        <f t="shared" si="2"/>
        <v>0</v>
      </c>
      <c r="N25" s="63">
        <f t="shared" si="3"/>
        <v>0</v>
      </c>
      <c r="O25" s="63">
        <f t="shared" si="4"/>
        <v>0</v>
      </c>
      <c r="P25" s="63">
        <f t="shared" si="5"/>
        <v>0</v>
      </c>
      <c r="Q25" s="63">
        <f t="shared" si="6"/>
        <v>0</v>
      </c>
    </row>
    <row r="26" spans="1:17" s="44" customFormat="1" ht="12.75">
      <c r="A26" s="28"/>
      <c r="B26" s="28" t="s">
        <v>36</v>
      </c>
      <c r="C26" s="22">
        <f>'2004'!C25+'2005'!C25+'2006'!C25</f>
        <v>0</v>
      </c>
      <c r="D26" s="22">
        <f>'2004'!D25+'2005'!D25+'2006'!D25</f>
        <v>0</v>
      </c>
      <c r="E26" s="22">
        <f>'2004'!E25+'2005'!E25+'2006'!E25</f>
        <v>0</v>
      </c>
      <c r="F26" s="22"/>
      <c r="G26" s="22">
        <f>'2004'!G25+'2005'!G25+'2006'!G25</f>
        <v>0</v>
      </c>
      <c r="H26" s="22">
        <f>'2004'!H25+'2005'!H25+'2006'!H25</f>
        <v>0</v>
      </c>
      <c r="I26" s="22">
        <f>'2004'!I25+'2005'!I25+'2006'!I25</f>
        <v>0</v>
      </c>
      <c r="J26"/>
      <c r="K26" s="63">
        <f t="shared" si="0"/>
        <v>0</v>
      </c>
      <c r="L26" s="63">
        <f t="shared" si="1"/>
        <v>0</v>
      </c>
      <c r="M26" s="63">
        <f t="shared" si="2"/>
        <v>0</v>
      </c>
      <c r="N26" s="63">
        <f t="shared" si="3"/>
        <v>0</v>
      </c>
      <c r="O26" s="63">
        <f t="shared" si="4"/>
        <v>0</v>
      </c>
      <c r="P26" s="63">
        <f t="shared" si="5"/>
        <v>0</v>
      </c>
      <c r="Q26" s="63">
        <f t="shared" si="6"/>
        <v>0</v>
      </c>
    </row>
    <row r="27" spans="1:17" s="44" customFormat="1" ht="12.75">
      <c r="A27" s="26" t="s">
        <v>37</v>
      </c>
      <c r="B27" s="26"/>
      <c r="C27" s="22">
        <f>'2004'!C26+'2005'!C26+'2006'!C26</f>
        <v>724942.73</v>
      </c>
      <c r="D27" s="22">
        <f>'2004'!D26+'2005'!D26+'2006'!D26</f>
        <v>688580.14</v>
      </c>
      <c r="E27" s="22">
        <f>'2004'!E26+'2005'!E26+'2006'!E26</f>
        <v>543705.3</v>
      </c>
      <c r="F27" s="22"/>
      <c r="G27" s="22">
        <f>'2004'!G26+'2005'!G26+'2006'!G26</f>
        <v>181237.43</v>
      </c>
      <c r="H27" s="22">
        <f>'2004'!H26+'2005'!H26+'2006'!H26</f>
        <v>144874.84</v>
      </c>
      <c r="I27" s="22">
        <f>'2004'!I26+'2005'!I26+'2006'!I26</f>
        <v>36362.59</v>
      </c>
      <c r="J27"/>
      <c r="K27" s="67">
        <f t="shared" si="0"/>
        <v>724942.73</v>
      </c>
      <c r="L27" s="67">
        <f t="shared" si="1"/>
        <v>688580.14</v>
      </c>
      <c r="M27" s="67">
        <f t="shared" si="2"/>
        <v>543705.3</v>
      </c>
      <c r="N27" s="67">
        <f t="shared" si="3"/>
        <v>0</v>
      </c>
      <c r="O27" s="67">
        <f t="shared" si="4"/>
        <v>181237.43</v>
      </c>
      <c r="P27" s="67">
        <f t="shared" si="5"/>
        <v>144874.84</v>
      </c>
      <c r="Q27" s="67">
        <f t="shared" si="6"/>
        <v>36362.59</v>
      </c>
    </row>
    <row r="28" spans="1:17" s="44" customFormat="1" ht="12.75">
      <c r="A28" s="29"/>
      <c r="B28" s="29" t="s">
        <v>38</v>
      </c>
      <c r="C28" s="24">
        <f>'2004'!C27+'2005'!C27+'2006'!C27</f>
        <v>707302.9099999999</v>
      </c>
      <c r="D28" s="24">
        <f>'2004'!D27+'2005'!D27+'2006'!D27</f>
        <v>671936.03</v>
      </c>
      <c r="E28" s="24">
        <f>'2004'!E27+'2005'!E27+'2006'!E27</f>
        <v>530476.6799999999</v>
      </c>
      <c r="F28" s="24"/>
      <c r="G28" s="24">
        <f>'2004'!G27+'2005'!G27+'2006'!G27</f>
        <v>176826.22999999998</v>
      </c>
      <c r="H28" s="24">
        <f>'2004'!H27+'2005'!H27+'2006'!H27</f>
        <v>141459.35</v>
      </c>
      <c r="I28" s="24">
        <f>'2004'!I27+'2005'!I27+'2006'!I27</f>
        <v>35366.880000000005</v>
      </c>
      <c r="J28"/>
      <c r="K28" s="63">
        <f t="shared" si="0"/>
        <v>707302.9099999999</v>
      </c>
      <c r="L28" s="63">
        <f t="shared" si="1"/>
        <v>671936.03</v>
      </c>
      <c r="M28" s="63">
        <f t="shared" si="2"/>
        <v>530476.6799999999</v>
      </c>
      <c r="N28" s="63">
        <f t="shared" si="3"/>
        <v>0</v>
      </c>
      <c r="O28" s="63">
        <f t="shared" si="4"/>
        <v>176826.22999999998</v>
      </c>
      <c r="P28" s="63">
        <f t="shared" si="5"/>
        <v>141459.35</v>
      </c>
      <c r="Q28" s="63">
        <f t="shared" si="6"/>
        <v>35366.880000000005</v>
      </c>
    </row>
    <row r="29" spans="1:17" s="44" customFormat="1" ht="12.75">
      <c r="A29" s="30"/>
      <c r="B29" s="30" t="s">
        <v>39</v>
      </c>
      <c r="C29" s="31">
        <f>'2004'!C28+'2005'!C28+'2006'!C28</f>
        <v>17639.82</v>
      </c>
      <c r="D29" s="31">
        <f>'2004'!D28+'2005'!D28+'2006'!D28</f>
        <v>16644.11</v>
      </c>
      <c r="E29" s="31">
        <f>'2004'!E28+'2005'!E28+'2006'!E28</f>
        <v>13228.620000000003</v>
      </c>
      <c r="F29" s="31"/>
      <c r="G29" s="31">
        <f>'2004'!G28+'2005'!G28+'2006'!G28</f>
        <v>4411.2</v>
      </c>
      <c r="H29" s="31">
        <f>'2004'!H28+'2005'!H28+'2006'!H28</f>
        <v>3415.49</v>
      </c>
      <c r="I29" s="31">
        <f>'2004'!I28+'2005'!I28+'2006'!I28</f>
        <v>995.71</v>
      </c>
      <c r="J29"/>
      <c r="K29" s="63">
        <f t="shared" si="0"/>
        <v>17639.82</v>
      </c>
      <c r="L29" s="63">
        <f t="shared" si="1"/>
        <v>16644.11</v>
      </c>
      <c r="M29" s="63">
        <f t="shared" si="2"/>
        <v>13228.620000000003</v>
      </c>
      <c r="N29" s="63">
        <f t="shared" si="3"/>
        <v>0</v>
      </c>
      <c r="O29" s="63">
        <f t="shared" si="4"/>
        <v>4411.2</v>
      </c>
      <c r="P29" s="63">
        <f t="shared" si="5"/>
        <v>3415.49</v>
      </c>
      <c r="Q29" s="63">
        <f t="shared" si="6"/>
        <v>995.71</v>
      </c>
    </row>
    <row r="30" spans="1:17" s="44" customFormat="1" ht="12.75">
      <c r="A30" s="26" t="s">
        <v>40</v>
      </c>
      <c r="B30" s="26"/>
      <c r="C30" s="22">
        <f>'2004'!C29+'2005'!C29+'2006'!C29</f>
        <v>11285551.67</v>
      </c>
      <c r="D30" s="22">
        <f>'2004'!D29+'2005'!D29+'2006'!D29</f>
        <v>10720872.75</v>
      </c>
      <c r="E30" s="22">
        <f>'2004'!E29+'2005'!E29+'2006'!E29</f>
        <v>8464162</v>
      </c>
      <c r="F30" s="22"/>
      <c r="G30" s="22">
        <f>'2004'!G29+'2005'!G29+'2006'!G29</f>
        <v>2821389.67</v>
      </c>
      <c r="H30" s="22">
        <f>'2004'!H29+'2005'!H29+'2006'!H29</f>
        <v>2256710.75</v>
      </c>
      <c r="I30" s="22">
        <f>'2004'!I29+'2005'!I29+'2006'!I29</f>
        <v>564678.92</v>
      </c>
      <c r="J30"/>
      <c r="K30" s="67">
        <f t="shared" si="0"/>
        <v>11285551.67</v>
      </c>
      <c r="L30" s="67">
        <f t="shared" si="1"/>
        <v>10720872.75</v>
      </c>
      <c r="M30" s="67">
        <f t="shared" si="2"/>
        <v>8464162</v>
      </c>
      <c r="N30" s="67">
        <f t="shared" si="3"/>
        <v>0</v>
      </c>
      <c r="O30" s="67">
        <f t="shared" si="4"/>
        <v>2821389.67</v>
      </c>
      <c r="P30" s="67">
        <f t="shared" si="5"/>
        <v>2256710.75</v>
      </c>
      <c r="Q30" s="67">
        <f t="shared" si="6"/>
        <v>564678.92</v>
      </c>
    </row>
    <row r="31" spans="1:17" s="44" customFormat="1" ht="21" customHeight="1" thickBot="1">
      <c r="A31" s="32"/>
      <c r="B31" s="32"/>
      <c r="C31" s="33">
        <f aca="true" t="shared" si="7" ref="C31:I31">C30-C91</f>
        <v>11285551.67</v>
      </c>
      <c r="D31" s="33">
        <f t="shared" si="7"/>
        <v>10720872.75</v>
      </c>
      <c r="E31" s="33">
        <f t="shared" si="7"/>
        <v>8464162</v>
      </c>
      <c r="F31" s="33">
        <f t="shared" si="7"/>
        <v>0</v>
      </c>
      <c r="G31" s="33">
        <f t="shared" si="7"/>
        <v>2821389.67</v>
      </c>
      <c r="H31" s="33">
        <f t="shared" si="7"/>
        <v>2256710.75</v>
      </c>
      <c r="I31" s="33">
        <f t="shared" si="7"/>
        <v>564678.92</v>
      </c>
      <c r="J31"/>
      <c r="K31"/>
      <c r="L31"/>
      <c r="M31"/>
      <c r="N31"/>
      <c r="O31"/>
      <c r="P31"/>
      <c r="Q31"/>
    </row>
    <row r="32" spans="1:17" s="44" customFormat="1" ht="15">
      <c r="A32" s="42"/>
      <c r="B32" s="69"/>
      <c r="C32" s="43"/>
      <c r="D32" s="43"/>
      <c r="E32" s="43"/>
      <c r="F32" s="43"/>
      <c r="G32" s="43"/>
      <c r="H32" s="43"/>
      <c r="I32" s="43"/>
      <c r="J32" s="70"/>
      <c r="K32" s="70"/>
      <c r="L32" s="70"/>
      <c r="M32" s="70"/>
      <c r="N32" s="70"/>
      <c r="O32" s="70"/>
      <c r="P32" s="70"/>
      <c r="Q32" s="70"/>
    </row>
    <row r="33" spans="1:17" s="44" customFormat="1" ht="15">
      <c r="A33" s="45"/>
      <c r="B33" s="69"/>
      <c r="C33" s="46"/>
      <c r="D33" s="46"/>
      <c r="E33" s="46"/>
      <c r="F33" s="46"/>
      <c r="G33" s="46"/>
      <c r="H33" s="46"/>
      <c r="I33" s="46"/>
      <c r="J33" s="70"/>
      <c r="K33" s="70"/>
      <c r="L33" s="70"/>
      <c r="M33" s="70"/>
      <c r="N33" s="70"/>
      <c r="O33" s="70"/>
      <c r="P33" s="70"/>
      <c r="Q33" s="70"/>
    </row>
    <row r="34" spans="1:17" s="44" customFormat="1" ht="12.75">
      <c r="A34" s="80"/>
      <c r="B34" s="80"/>
      <c r="C34" s="80"/>
      <c r="D34" s="80"/>
      <c r="E34" s="80"/>
      <c r="F34" s="80"/>
      <c r="G34" s="80"/>
      <c r="H34" s="80"/>
      <c r="I34" s="80"/>
      <c r="J34" s="70"/>
      <c r="K34" s="70"/>
      <c r="L34" s="70"/>
      <c r="M34" s="70"/>
      <c r="N34" s="70"/>
      <c r="O34" s="70"/>
      <c r="P34" s="70"/>
      <c r="Q34" s="70"/>
    </row>
    <row r="35" spans="1:17" s="44" customFormat="1" ht="12.75">
      <c r="A35" s="71"/>
      <c r="B35" s="71"/>
      <c r="C35" s="50"/>
      <c r="D35" s="50"/>
      <c r="E35" s="51"/>
      <c r="F35" s="51"/>
      <c r="G35" s="72"/>
      <c r="H35" s="72"/>
      <c r="I35" s="50"/>
      <c r="J35" s="70"/>
      <c r="K35" s="70"/>
      <c r="L35" s="70"/>
      <c r="M35" s="70"/>
      <c r="N35" s="70"/>
      <c r="O35" s="70"/>
      <c r="P35" s="70"/>
      <c r="Q35" s="70"/>
    </row>
    <row r="36" spans="1:17" s="44" customFormat="1" ht="12.75">
      <c r="A36" s="47"/>
      <c r="B36" s="48"/>
      <c r="C36" s="49"/>
      <c r="D36" s="50"/>
      <c r="E36" s="51"/>
      <c r="F36" s="51"/>
      <c r="G36" s="50"/>
      <c r="H36" s="50"/>
      <c r="I36" s="50"/>
      <c r="J36" s="70"/>
      <c r="K36" s="70"/>
      <c r="L36" s="70"/>
      <c r="M36" s="70"/>
      <c r="N36" s="70"/>
      <c r="O36" s="70"/>
      <c r="P36" s="70"/>
      <c r="Q36" s="70"/>
    </row>
    <row r="37" spans="1:17" s="44" customFormat="1" ht="12.75">
      <c r="A37" s="48"/>
      <c r="B37" s="48"/>
      <c r="C37" s="49"/>
      <c r="D37" s="50"/>
      <c r="E37" s="51"/>
      <c r="F37" s="51"/>
      <c r="G37" s="50"/>
      <c r="H37" s="50"/>
      <c r="I37" s="72"/>
      <c r="J37" s="70"/>
      <c r="K37" s="70"/>
      <c r="L37" s="70"/>
      <c r="M37" s="70"/>
      <c r="N37" s="70"/>
      <c r="O37" s="70"/>
      <c r="P37" s="70"/>
      <c r="Q37" s="70"/>
    </row>
    <row r="38" spans="1:17" s="44" customFormat="1" ht="12.75">
      <c r="A38" s="52"/>
      <c r="B38" s="73"/>
      <c r="C38" s="53"/>
      <c r="D38" s="53"/>
      <c r="E38" s="53"/>
      <c r="F38" s="53"/>
      <c r="G38" s="53"/>
      <c r="H38" s="53"/>
      <c r="I38" s="53"/>
      <c r="J38" s="70"/>
      <c r="K38" s="70"/>
      <c r="L38" s="70"/>
      <c r="M38" s="70"/>
      <c r="N38" s="70"/>
      <c r="O38" s="70"/>
      <c r="P38" s="70"/>
      <c r="Q38" s="70"/>
    </row>
    <row r="39" spans="1:17" s="44" customFormat="1" ht="12.75">
      <c r="A39" s="55"/>
      <c r="B39" s="55"/>
      <c r="C39" s="56"/>
      <c r="D39" s="56"/>
      <c r="E39" s="56"/>
      <c r="F39" s="56"/>
      <c r="G39" s="56"/>
      <c r="H39" s="56"/>
      <c r="I39" s="56"/>
      <c r="J39" s="70"/>
      <c r="K39" s="70"/>
      <c r="L39" s="70"/>
      <c r="M39" s="70"/>
      <c r="N39" s="70"/>
      <c r="O39" s="70"/>
      <c r="P39" s="70"/>
      <c r="Q39" s="70"/>
    </row>
    <row r="40" spans="1:17" s="44" customFormat="1" ht="12.75">
      <c r="A40" s="55"/>
      <c r="B40" s="55"/>
      <c r="C40" s="56"/>
      <c r="D40" s="56"/>
      <c r="E40" s="56"/>
      <c r="F40" s="56"/>
      <c r="G40" s="56"/>
      <c r="H40" s="56"/>
      <c r="I40" s="56"/>
      <c r="J40" s="70"/>
      <c r="K40" s="70"/>
      <c r="L40" s="70"/>
      <c r="M40" s="70"/>
      <c r="N40" s="70"/>
      <c r="O40" s="70"/>
      <c r="P40" s="70"/>
      <c r="Q40" s="70"/>
    </row>
    <row r="41" spans="1:17" s="44" customFormat="1" ht="12.75">
      <c r="A41" s="57"/>
      <c r="B41" s="55"/>
      <c r="C41" s="56"/>
      <c r="D41" s="56"/>
      <c r="E41" s="56"/>
      <c r="F41" s="56"/>
      <c r="G41" s="56"/>
      <c r="H41" s="56"/>
      <c r="I41" s="56"/>
      <c r="J41" s="70"/>
      <c r="K41" s="70"/>
      <c r="L41" s="70"/>
      <c r="M41" s="70"/>
      <c r="N41" s="70"/>
      <c r="O41" s="70"/>
      <c r="P41" s="70"/>
      <c r="Q41" s="70"/>
    </row>
    <row r="42" spans="1:17" s="44" customFormat="1" ht="12.75">
      <c r="A42" s="74"/>
      <c r="B42" s="74"/>
      <c r="C42" s="53"/>
      <c r="D42" s="53"/>
      <c r="E42" s="53"/>
      <c r="F42" s="53"/>
      <c r="G42" s="53"/>
      <c r="H42" s="53"/>
      <c r="I42" s="53"/>
      <c r="J42" s="70"/>
      <c r="K42" s="70"/>
      <c r="L42" s="70"/>
      <c r="M42" s="70"/>
      <c r="N42" s="70"/>
      <c r="O42" s="70"/>
      <c r="P42" s="70"/>
      <c r="Q42" s="70"/>
    </row>
    <row r="43" spans="1:17" s="44" customFormat="1" ht="12.75">
      <c r="A43" s="55"/>
      <c r="B43" s="55"/>
      <c r="C43" s="56"/>
      <c r="D43" s="56"/>
      <c r="E43" s="56"/>
      <c r="F43" s="56"/>
      <c r="G43" s="56"/>
      <c r="H43" s="56"/>
      <c r="I43" s="56"/>
      <c r="J43" s="70"/>
      <c r="K43" s="70"/>
      <c r="L43" s="70"/>
      <c r="M43" s="70"/>
      <c r="N43" s="70"/>
      <c r="O43" s="70"/>
      <c r="P43" s="70"/>
      <c r="Q43" s="70"/>
    </row>
    <row r="44" spans="1:17" s="44" customFormat="1" ht="12.75">
      <c r="A44" s="55"/>
      <c r="B44" s="55"/>
      <c r="C44" s="56"/>
      <c r="D44" s="56"/>
      <c r="E44" s="56"/>
      <c r="F44" s="56"/>
      <c r="G44" s="56"/>
      <c r="H44" s="56"/>
      <c r="I44" s="56"/>
      <c r="J44" s="70"/>
      <c r="K44" s="70"/>
      <c r="L44" s="70"/>
      <c r="M44" s="70"/>
      <c r="N44" s="70"/>
      <c r="O44" s="70"/>
      <c r="P44" s="70"/>
      <c r="Q44" s="70"/>
    </row>
    <row r="45" spans="1:17" s="44" customFormat="1" ht="12.75">
      <c r="A45" s="74"/>
      <c r="B45" s="74"/>
      <c r="C45" s="53"/>
      <c r="D45" s="53"/>
      <c r="E45" s="53"/>
      <c r="F45" s="53"/>
      <c r="G45" s="53"/>
      <c r="H45" s="53"/>
      <c r="I45" s="53"/>
      <c r="J45" s="70"/>
      <c r="K45" s="70"/>
      <c r="L45" s="70"/>
      <c r="M45" s="70"/>
      <c r="N45" s="70"/>
      <c r="O45" s="70"/>
      <c r="P45" s="70"/>
      <c r="Q45" s="70"/>
    </row>
    <row r="46" spans="1:17" s="44" customFormat="1" ht="12.75">
      <c r="A46" s="55"/>
      <c r="B46" s="55"/>
      <c r="C46" s="56"/>
      <c r="D46" s="56"/>
      <c r="E46" s="56"/>
      <c r="F46" s="56"/>
      <c r="G46" s="56"/>
      <c r="H46" s="56"/>
      <c r="I46" s="56"/>
      <c r="J46" s="70"/>
      <c r="K46" s="70"/>
      <c r="L46" s="70"/>
      <c r="M46" s="70"/>
      <c r="N46" s="70"/>
      <c r="O46" s="70"/>
      <c r="P46" s="70"/>
      <c r="Q46" s="70"/>
    </row>
    <row r="47" spans="1:17" s="44" customFormat="1" ht="12.75">
      <c r="A47" s="57"/>
      <c r="B47" s="57"/>
      <c r="C47" s="56"/>
      <c r="D47" s="56"/>
      <c r="E47" s="56"/>
      <c r="F47" s="56"/>
      <c r="G47" s="56"/>
      <c r="H47" s="56"/>
      <c r="I47" s="56"/>
      <c r="J47" s="70"/>
      <c r="K47" s="70"/>
      <c r="L47" s="70"/>
      <c r="M47" s="70"/>
      <c r="N47" s="70"/>
      <c r="O47" s="70"/>
      <c r="P47" s="70"/>
      <c r="Q47" s="70"/>
    </row>
    <row r="48" spans="1:17" s="44" customFormat="1" ht="12.75">
      <c r="A48" s="74"/>
      <c r="B48" s="74"/>
      <c r="C48" s="53"/>
      <c r="D48" s="53"/>
      <c r="E48" s="53"/>
      <c r="F48" s="53"/>
      <c r="G48" s="53"/>
      <c r="H48" s="53"/>
      <c r="I48" s="53"/>
      <c r="J48" s="70"/>
      <c r="K48" s="70"/>
      <c r="L48" s="70"/>
      <c r="M48" s="70"/>
      <c r="N48" s="70"/>
      <c r="O48" s="70"/>
      <c r="P48" s="70"/>
      <c r="Q48" s="70"/>
    </row>
    <row r="49" spans="1:17" s="44" customFormat="1" ht="12.75">
      <c r="A49" s="55"/>
      <c r="B49" s="55"/>
      <c r="C49" s="56"/>
      <c r="D49" s="56"/>
      <c r="E49" s="56"/>
      <c r="F49" s="56"/>
      <c r="G49" s="56"/>
      <c r="H49" s="56"/>
      <c r="I49" s="56"/>
      <c r="J49" s="70"/>
      <c r="K49" s="70"/>
      <c r="L49" s="70"/>
      <c r="M49" s="70"/>
      <c r="N49" s="70"/>
      <c r="O49" s="70"/>
      <c r="P49" s="70"/>
      <c r="Q49" s="70"/>
    </row>
    <row r="50" spans="1:17" s="44" customFormat="1" ht="12.75">
      <c r="A50" s="55"/>
      <c r="B50" s="55"/>
      <c r="C50" s="56"/>
      <c r="D50" s="56"/>
      <c r="E50" s="56"/>
      <c r="F50" s="56"/>
      <c r="G50" s="56"/>
      <c r="H50" s="56"/>
      <c r="I50" s="56"/>
      <c r="J50" s="70"/>
      <c r="K50" s="70"/>
      <c r="L50" s="70"/>
      <c r="M50" s="70"/>
      <c r="N50" s="70"/>
      <c r="O50" s="70"/>
      <c r="P50" s="70"/>
      <c r="Q50" s="70"/>
    </row>
    <row r="51" spans="1:17" s="44" customFormat="1" ht="12.75">
      <c r="A51" s="74"/>
      <c r="B51" s="74"/>
      <c r="C51" s="53"/>
      <c r="D51" s="53"/>
      <c r="E51" s="53"/>
      <c r="F51" s="53"/>
      <c r="G51" s="53"/>
      <c r="H51" s="53"/>
      <c r="I51" s="53"/>
      <c r="J51" s="70"/>
      <c r="K51" s="70"/>
      <c r="L51" s="70"/>
      <c r="M51" s="70"/>
      <c r="N51" s="70"/>
      <c r="O51" s="70"/>
      <c r="P51" s="70"/>
      <c r="Q51" s="70"/>
    </row>
    <row r="52" spans="1:17" s="44" customFormat="1" ht="12.75">
      <c r="A52" s="55"/>
      <c r="B52" s="55"/>
      <c r="C52" s="56"/>
      <c r="D52" s="56"/>
      <c r="E52" s="56"/>
      <c r="F52" s="56"/>
      <c r="G52" s="56"/>
      <c r="H52" s="56"/>
      <c r="I52" s="56"/>
      <c r="J52" s="70"/>
      <c r="K52" s="70"/>
      <c r="L52" s="70"/>
      <c r="M52" s="70"/>
      <c r="N52" s="70"/>
      <c r="O52" s="70"/>
      <c r="P52" s="70"/>
      <c r="Q52" s="70"/>
    </row>
    <row r="53" spans="1:17" s="44" customFormat="1" ht="12.75">
      <c r="A53" s="55"/>
      <c r="B53" s="55"/>
      <c r="C53" s="56"/>
      <c r="D53" s="56"/>
      <c r="E53" s="56"/>
      <c r="F53" s="56"/>
      <c r="G53" s="56"/>
      <c r="H53" s="56"/>
      <c r="I53" s="56"/>
      <c r="J53" s="70"/>
      <c r="K53" s="70"/>
      <c r="L53" s="70"/>
      <c r="M53" s="70"/>
      <c r="N53" s="70"/>
      <c r="O53" s="70"/>
      <c r="P53" s="70"/>
      <c r="Q53" s="70"/>
    </row>
    <row r="54" spans="1:17" s="44" customFormat="1" ht="12.75">
      <c r="A54" s="55"/>
      <c r="B54" s="55"/>
      <c r="C54" s="56"/>
      <c r="D54" s="56"/>
      <c r="E54" s="56"/>
      <c r="F54" s="56"/>
      <c r="G54" s="56"/>
      <c r="H54" s="56"/>
      <c r="I54" s="56"/>
      <c r="J54" s="70"/>
      <c r="K54" s="70"/>
      <c r="L54" s="70"/>
      <c r="M54" s="70"/>
      <c r="N54" s="70"/>
      <c r="O54" s="70"/>
      <c r="P54" s="70"/>
      <c r="Q54" s="70"/>
    </row>
    <row r="55" spans="1:17" s="44" customFormat="1" ht="12.75">
      <c r="A55" s="74"/>
      <c r="B55" s="74"/>
      <c r="C55" s="53"/>
      <c r="D55" s="53"/>
      <c r="E55" s="53"/>
      <c r="F55" s="53"/>
      <c r="G55" s="53"/>
      <c r="H55" s="53"/>
      <c r="I55" s="53"/>
      <c r="J55" s="70"/>
      <c r="K55" s="70"/>
      <c r="L55" s="70"/>
      <c r="M55" s="70"/>
      <c r="N55" s="70"/>
      <c r="O55" s="70"/>
      <c r="P55" s="70"/>
      <c r="Q55" s="70"/>
    </row>
    <row r="56" spans="1:17" s="44" customFormat="1" ht="12.75">
      <c r="A56" s="55"/>
      <c r="B56" s="55"/>
      <c r="C56" s="53"/>
      <c r="D56" s="53"/>
      <c r="E56" s="53"/>
      <c r="F56" s="53"/>
      <c r="G56" s="53"/>
      <c r="H56" s="53"/>
      <c r="I56" s="53"/>
      <c r="J56" s="70"/>
      <c r="K56" s="70"/>
      <c r="L56" s="70"/>
      <c r="M56" s="70"/>
      <c r="N56" s="70"/>
      <c r="O56" s="70"/>
      <c r="P56" s="70"/>
      <c r="Q56" s="70"/>
    </row>
    <row r="57" spans="1:17" s="44" customFormat="1" ht="12.75">
      <c r="A57" s="74"/>
      <c r="B57" s="74"/>
      <c r="C57" s="53"/>
      <c r="D57" s="53"/>
      <c r="E57" s="53"/>
      <c r="F57" s="53"/>
      <c r="G57" s="53"/>
      <c r="H57" s="53"/>
      <c r="I57" s="53"/>
      <c r="J57" s="70"/>
      <c r="K57" s="70"/>
      <c r="L57" s="70"/>
      <c r="M57" s="70"/>
      <c r="N57" s="70"/>
      <c r="O57" s="70"/>
      <c r="P57" s="70"/>
      <c r="Q57" s="70"/>
    </row>
    <row r="58" spans="1:17" s="44" customFormat="1" ht="12.75">
      <c r="A58" s="58"/>
      <c r="B58" s="58"/>
      <c r="C58" s="56"/>
      <c r="D58" s="56"/>
      <c r="E58" s="56"/>
      <c r="F58" s="56"/>
      <c r="G58" s="56"/>
      <c r="H58" s="56"/>
      <c r="I58" s="56"/>
      <c r="J58" s="70"/>
      <c r="K58" s="70"/>
      <c r="L58" s="70"/>
      <c r="M58" s="70"/>
      <c r="N58" s="70"/>
      <c r="O58" s="70"/>
      <c r="P58" s="70"/>
      <c r="Q58" s="70"/>
    </row>
    <row r="59" spans="1:17" s="44" customFormat="1" ht="12.75">
      <c r="A59" s="58"/>
      <c r="B59" s="58"/>
      <c r="C59" s="56"/>
      <c r="D59" s="56"/>
      <c r="E59" s="56"/>
      <c r="F59" s="56"/>
      <c r="G59" s="56"/>
      <c r="H59" s="56"/>
      <c r="I59" s="56"/>
      <c r="J59" s="70"/>
      <c r="K59" s="70"/>
      <c r="L59" s="70"/>
      <c r="M59" s="70"/>
      <c r="N59" s="70"/>
      <c r="O59" s="70"/>
      <c r="P59" s="70"/>
      <c r="Q59" s="70"/>
    </row>
    <row r="60" spans="1:17" s="44" customFormat="1" ht="12.75">
      <c r="A60" s="74"/>
      <c r="B60" s="74"/>
      <c r="C60" s="53"/>
      <c r="D60" s="53"/>
      <c r="E60" s="53"/>
      <c r="F60" s="53"/>
      <c r="G60" s="53"/>
      <c r="H60" s="53"/>
      <c r="I60" s="53"/>
      <c r="J60" s="70"/>
      <c r="K60" s="70"/>
      <c r="L60" s="70"/>
      <c r="M60" s="70"/>
      <c r="N60" s="70"/>
      <c r="O60" s="70"/>
      <c r="P60" s="70"/>
      <c r="Q60" s="70"/>
    </row>
    <row r="61" spans="1:17" s="44" customFormat="1" ht="12.75">
      <c r="A61" s="74"/>
      <c r="B61" s="74"/>
      <c r="C61" s="53"/>
      <c r="D61" s="53"/>
      <c r="E61" s="53"/>
      <c r="F61" s="54"/>
      <c r="G61" s="53"/>
      <c r="H61" s="53"/>
      <c r="I61" s="53"/>
      <c r="J61" s="70"/>
      <c r="K61" s="53"/>
      <c r="L61" s="53"/>
      <c r="M61" s="53"/>
      <c r="N61" s="54"/>
      <c r="O61" s="53"/>
      <c r="P61" s="53"/>
      <c r="Q61" s="53"/>
    </row>
    <row r="62" spans="1:17" s="44" customFormat="1" ht="21" customHeight="1">
      <c r="A62" s="70"/>
      <c r="B62" s="81"/>
      <c r="C62" s="81"/>
      <c r="D62" s="81"/>
      <c r="E62" s="81"/>
      <c r="F62" s="81"/>
      <c r="G62" s="81"/>
      <c r="H62" s="81"/>
      <c r="I62" s="81"/>
      <c r="J62" s="70"/>
      <c r="K62" s="70"/>
      <c r="L62" s="70"/>
      <c r="M62" s="70"/>
      <c r="N62" s="70"/>
      <c r="O62" s="70"/>
      <c r="P62" s="70"/>
      <c r="Q62" s="70"/>
    </row>
    <row r="63" spans="1:17" s="44" customFormat="1" ht="15">
      <c r="A63" s="42"/>
      <c r="B63" s="69"/>
      <c r="C63" s="43"/>
      <c r="D63" s="43"/>
      <c r="E63" s="43"/>
      <c r="F63" s="43"/>
      <c r="G63" s="43"/>
      <c r="H63" s="43"/>
      <c r="I63" s="43"/>
      <c r="J63" s="70"/>
      <c r="K63" s="43"/>
      <c r="L63" s="43"/>
      <c r="M63" s="43"/>
      <c r="N63" s="43"/>
      <c r="O63" s="43"/>
      <c r="P63" s="43"/>
      <c r="Q63" s="43"/>
    </row>
    <row r="64" spans="1:17" s="44" customFormat="1" ht="15">
      <c r="A64" s="45"/>
      <c r="B64" s="69"/>
      <c r="C64" s="46"/>
      <c r="D64" s="46"/>
      <c r="E64" s="46"/>
      <c r="F64" s="46"/>
      <c r="G64" s="46"/>
      <c r="H64" s="46"/>
      <c r="I64" s="46"/>
      <c r="J64" s="70"/>
      <c r="K64" s="46"/>
      <c r="L64" s="46"/>
      <c r="M64" s="46"/>
      <c r="N64" s="46"/>
      <c r="O64" s="46"/>
      <c r="P64" s="46"/>
      <c r="Q64" s="46"/>
    </row>
    <row r="65" spans="1:17" s="44" customFormat="1" ht="12.75">
      <c r="A65" s="80"/>
      <c r="B65" s="80"/>
      <c r="C65" s="80"/>
      <c r="D65" s="80"/>
      <c r="E65" s="80"/>
      <c r="F65" s="80"/>
      <c r="G65" s="80"/>
      <c r="H65" s="80"/>
      <c r="I65" s="80"/>
      <c r="J65" s="70"/>
      <c r="K65" s="80"/>
      <c r="L65" s="80"/>
      <c r="M65" s="80"/>
      <c r="N65" s="80"/>
      <c r="O65" s="80"/>
      <c r="P65" s="80"/>
      <c r="Q65" s="80"/>
    </row>
    <row r="66" spans="1:17" s="44" customFormat="1" ht="12.75">
      <c r="A66" s="71"/>
      <c r="B66" s="71"/>
      <c r="C66" s="50"/>
      <c r="D66" s="50"/>
      <c r="E66" s="51"/>
      <c r="F66" s="51"/>
      <c r="G66" s="72"/>
      <c r="H66" s="72"/>
      <c r="I66" s="50"/>
      <c r="J66" s="70"/>
      <c r="K66" s="50"/>
      <c r="L66" s="50"/>
      <c r="M66" s="51"/>
      <c r="N66" s="51"/>
      <c r="O66" s="72"/>
      <c r="P66" s="72"/>
      <c r="Q66" s="50"/>
    </row>
    <row r="67" spans="1:17" s="44" customFormat="1" ht="12.75">
      <c r="A67" s="47"/>
      <c r="B67" s="48"/>
      <c r="C67" s="49"/>
      <c r="D67" s="50"/>
      <c r="E67" s="51"/>
      <c r="F67" s="51"/>
      <c r="G67" s="50"/>
      <c r="H67" s="50"/>
      <c r="I67" s="50"/>
      <c r="J67" s="70"/>
      <c r="K67" s="49"/>
      <c r="L67" s="50"/>
      <c r="M67" s="51"/>
      <c r="N67" s="51"/>
      <c r="O67" s="50"/>
      <c r="P67" s="50"/>
      <c r="Q67" s="50"/>
    </row>
    <row r="68" spans="1:17" s="44" customFormat="1" ht="12.75">
      <c r="A68" s="48"/>
      <c r="B68" s="48"/>
      <c r="C68" s="49"/>
      <c r="D68" s="50"/>
      <c r="E68" s="51"/>
      <c r="F68" s="51"/>
      <c r="G68" s="50"/>
      <c r="H68" s="50"/>
      <c r="I68" s="72"/>
      <c r="J68" s="70"/>
      <c r="K68" s="49"/>
      <c r="L68" s="50"/>
      <c r="M68" s="51"/>
      <c r="N68" s="51"/>
      <c r="O68" s="50"/>
      <c r="P68" s="50"/>
      <c r="Q68" s="72"/>
    </row>
    <row r="69" spans="1:17" s="44" customFormat="1" ht="12.75">
      <c r="A69" s="52"/>
      <c r="B69" s="73"/>
      <c r="C69" s="53"/>
      <c r="D69" s="53"/>
      <c r="E69" s="53"/>
      <c r="F69" s="53"/>
      <c r="G69" s="53"/>
      <c r="H69" s="53"/>
      <c r="I69" s="53"/>
      <c r="J69" s="70"/>
      <c r="K69" s="53"/>
      <c r="L69" s="53"/>
      <c r="M69" s="53"/>
      <c r="N69" s="53"/>
      <c r="O69" s="53"/>
      <c r="P69" s="53"/>
      <c r="Q69" s="53"/>
    </row>
    <row r="70" spans="1:17" s="44" customFormat="1" ht="10.5" customHeight="1">
      <c r="A70" s="55"/>
      <c r="B70" s="55"/>
      <c r="C70" s="56"/>
      <c r="D70" s="56"/>
      <c r="E70" s="56"/>
      <c r="F70" s="56"/>
      <c r="G70" s="56"/>
      <c r="H70" s="56"/>
      <c r="I70" s="56"/>
      <c r="J70" s="70"/>
      <c r="K70" s="53"/>
      <c r="L70" s="53"/>
      <c r="M70" s="53"/>
      <c r="N70" s="53"/>
      <c r="O70" s="53"/>
      <c r="P70" s="53"/>
      <c r="Q70" s="53"/>
    </row>
    <row r="71" spans="1:17" s="44" customFormat="1" ht="12.75">
      <c r="A71" s="55"/>
      <c r="B71" s="55"/>
      <c r="C71" s="56"/>
      <c r="D71" s="56"/>
      <c r="E71" s="56"/>
      <c r="F71" s="56"/>
      <c r="G71" s="56"/>
      <c r="H71" s="56"/>
      <c r="I71" s="56"/>
      <c r="J71" s="70"/>
      <c r="K71" s="53"/>
      <c r="L71" s="53"/>
      <c r="M71" s="53"/>
      <c r="N71" s="53"/>
      <c r="O71" s="53"/>
      <c r="P71" s="53"/>
      <c r="Q71" s="53"/>
    </row>
    <row r="72" spans="1:17" s="44" customFormat="1" ht="12.75">
      <c r="A72" s="57"/>
      <c r="B72" s="55"/>
      <c r="C72" s="56"/>
      <c r="D72" s="56"/>
      <c r="E72" s="56"/>
      <c r="F72" s="56"/>
      <c r="G72" s="56"/>
      <c r="H72" s="56"/>
      <c r="I72" s="56"/>
      <c r="J72" s="70"/>
      <c r="K72" s="53"/>
      <c r="L72" s="53"/>
      <c r="M72" s="53"/>
      <c r="N72" s="53"/>
      <c r="O72" s="53"/>
      <c r="P72" s="53"/>
      <c r="Q72" s="53"/>
    </row>
    <row r="73" spans="1:17" s="44" customFormat="1" ht="12.75">
      <c r="A73" s="74"/>
      <c r="B73" s="74"/>
      <c r="C73" s="53"/>
      <c r="D73" s="53"/>
      <c r="E73" s="53"/>
      <c r="F73" s="53"/>
      <c r="G73" s="53"/>
      <c r="H73" s="53"/>
      <c r="I73" s="53"/>
      <c r="J73" s="70"/>
      <c r="K73" s="53"/>
      <c r="L73" s="53"/>
      <c r="M73" s="53"/>
      <c r="N73" s="53"/>
      <c r="O73" s="53"/>
      <c r="P73" s="53"/>
      <c r="Q73" s="53"/>
    </row>
    <row r="74" spans="1:17" s="44" customFormat="1" ht="12.75">
      <c r="A74" s="55"/>
      <c r="B74" s="55"/>
      <c r="C74" s="56"/>
      <c r="D74" s="56"/>
      <c r="E74" s="56"/>
      <c r="F74" s="56"/>
      <c r="G74" s="56"/>
      <c r="H74" s="56"/>
      <c r="I74" s="56"/>
      <c r="J74" s="70"/>
      <c r="K74" s="53"/>
      <c r="L74" s="53"/>
      <c r="M74" s="53"/>
      <c r="N74" s="53"/>
      <c r="O74" s="53"/>
      <c r="P74" s="53"/>
      <c r="Q74" s="53"/>
    </row>
    <row r="75" spans="1:17" s="44" customFormat="1" ht="12.75">
      <c r="A75" s="55"/>
      <c r="B75" s="55"/>
      <c r="C75" s="56"/>
      <c r="D75" s="56"/>
      <c r="E75" s="56"/>
      <c r="F75" s="56"/>
      <c r="G75" s="56"/>
      <c r="H75" s="56"/>
      <c r="I75" s="56"/>
      <c r="J75" s="70"/>
      <c r="K75" s="53"/>
      <c r="L75" s="53"/>
      <c r="M75" s="53"/>
      <c r="N75" s="53"/>
      <c r="O75" s="53"/>
      <c r="P75" s="53"/>
      <c r="Q75" s="53"/>
    </row>
    <row r="76" spans="1:17" s="44" customFormat="1" ht="12.75">
      <c r="A76" s="74"/>
      <c r="B76" s="74"/>
      <c r="C76" s="53"/>
      <c r="D76" s="53"/>
      <c r="E76" s="53"/>
      <c r="F76" s="53"/>
      <c r="G76" s="53"/>
      <c r="H76" s="53"/>
      <c r="I76" s="53"/>
      <c r="J76" s="70"/>
      <c r="K76" s="53"/>
      <c r="L76" s="53"/>
      <c r="M76" s="53"/>
      <c r="N76" s="53"/>
      <c r="O76" s="53"/>
      <c r="P76" s="53"/>
      <c r="Q76" s="53"/>
    </row>
    <row r="77" spans="1:17" s="44" customFormat="1" ht="12.75">
      <c r="A77" s="55"/>
      <c r="B77" s="55"/>
      <c r="C77" s="56"/>
      <c r="D77" s="56"/>
      <c r="E77" s="56"/>
      <c r="F77" s="56"/>
      <c r="G77" s="56"/>
      <c r="H77" s="56"/>
      <c r="I77" s="56"/>
      <c r="J77" s="70"/>
      <c r="K77" s="53"/>
      <c r="L77" s="53"/>
      <c r="M77" s="53"/>
      <c r="N77" s="53"/>
      <c r="O77" s="53"/>
      <c r="P77" s="53"/>
      <c r="Q77" s="53"/>
    </row>
    <row r="78" spans="1:17" s="44" customFormat="1" ht="12.75">
      <c r="A78" s="57"/>
      <c r="B78" s="57"/>
      <c r="C78" s="56"/>
      <c r="D78" s="56"/>
      <c r="E78" s="56"/>
      <c r="F78" s="56"/>
      <c r="G78" s="56"/>
      <c r="H78" s="56"/>
      <c r="I78" s="56"/>
      <c r="J78" s="70"/>
      <c r="K78" s="53"/>
      <c r="L78" s="53"/>
      <c r="M78" s="53"/>
      <c r="N78" s="53"/>
      <c r="O78" s="53"/>
      <c r="P78" s="53"/>
      <c r="Q78" s="53"/>
    </row>
    <row r="79" spans="1:17" s="44" customFormat="1" ht="12.75">
      <c r="A79" s="74"/>
      <c r="B79" s="74"/>
      <c r="C79" s="53"/>
      <c r="D79" s="53"/>
      <c r="E79" s="53"/>
      <c r="F79" s="53"/>
      <c r="G79" s="53"/>
      <c r="H79" s="53"/>
      <c r="I79" s="53"/>
      <c r="J79" s="70"/>
      <c r="K79" s="53"/>
      <c r="L79" s="53"/>
      <c r="M79" s="53"/>
      <c r="N79" s="53"/>
      <c r="O79" s="53"/>
      <c r="P79" s="53"/>
      <c r="Q79" s="53"/>
    </row>
    <row r="80" spans="1:17" s="44" customFormat="1" ht="12.75">
      <c r="A80" s="55"/>
      <c r="B80" s="55"/>
      <c r="C80" s="56"/>
      <c r="D80" s="56"/>
      <c r="E80" s="56"/>
      <c r="F80" s="56"/>
      <c r="G80" s="56"/>
      <c r="H80" s="56"/>
      <c r="I80" s="56"/>
      <c r="J80" s="70"/>
      <c r="K80" s="53"/>
      <c r="L80" s="53"/>
      <c r="M80" s="53"/>
      <c r="N80" s="53"/>
      <c r="O80" s="53"/>
      <c r="P80" s="53"/>
      <c r="Q80" s="53"/>
    </row>
    <row r="81" spans="1:17" s="44" customFormat="1" ht="12.75">
      <c r="A81" s="55"/>
      <c r="B81" s="55"/>
      <c r="C81" s="56"/>
      <c r="D81" s="56"/>
      <c r="E81" s="56"/>
      <c r="F81" s="56"/>
      <c r="G81" s="56"/>
      <c r="H81" s="56"/>
      <c r="I81" s="56"/>
      <c r="J81" s="70"/>
      <c r="K81" s="53"/>
      <c r="L81" s="53"/>
      <c r="M81" s="53"/>
      <c r="N81" s="53"/>
      <c r="O81" s="53"/>
      <c r="P81" s="53"/>
      <c r="Q81" s="53"/>
    </row>
    <row r="82" spans="1:17" s="44" customFormat="1" ht="12.75">
      <c r="A82" s="74"/>
      <c r="B82" s="74"/>
      <c r="C82" s="53"/>
      <c r="D82" s="53"/>
      <c r="E82" s="53"/>
      <c r="F82" s="53"/>
      <c r="G82" s="53"/>
      <c r="H82" s="53"/>
      <c r="I82" s="53"/>
      <c r="J82" s="70"/>
      <c r="K82" s="53"/>
      <c r="L82" s="53"/>
      <c r="M82" s="53"/>
      <c r="N82" s="53"/>
      <c r="O82" s="53"/>
      <c r="P82" s="53"/>
      <c r="Q82" s="53"/>
    </row>
    <row r="83" spans="1:17" s="44" customFormat="1" ht="12.75">
      <c r="A83" s="55"/>
      <c r="B83" s="55"/>
      <c r="C83" s="56"/>
      <c r="D83" s="56"/>
      <c r="E83" s="56"/>
      <c r="F83" s="56"/>
      <c r="G83" s="56"/>
      <c r="H83" s="56"/>
      <c r="I83" s="56"/>
      <c r="J83" s="70"/>
      <c r="K83" s="53"/>
      <c r="L83" s="53"/>
      <c r="M83" s="53"/>
      <c r="N83" s="53"/>
      <c r="O83" s="53"/>
      <c r="P83" s="53"/>
      <c r="Q83" s="53"/>
    </row>
    <row r="84" spans="1:17" s="44" customFormat="1" ht="12.75">
      <c r="A84" s="55"/>
      <c r="B84" s="55"/>
      <c r="C84" s="56"/>
      <c r="D84" s="56"/>
      <c r="E84" s="56"/>
      <c r="F84" s="56"/>
      <c r="G84" s="56"/>
      <c r="H84" s="56"/>
      <c r="I84" s="56"/>
      <c r="J84" s="70"/>
      <c r="K84" s="53"/>
      <c r="L84" s="53"/>
      <c r="M84" s="53"/>
      <c r="N84" s="53"/>
      <c r="O84" s="53"/>
      <c r="P84" s="53"/>
      <c r="Q84" s="53"/>
    </row>
    <row r="85" spans="1:17" s="44" customFormat="1" ht="12.75">
      <c r="A85" s="55"/>
      <c r="B85" s="55"/>
      <c r="C85" s="56"/>
      <c r="D85" s="56"/>
      <c r="E85" s="56"/>
      <c r="F85" s="56"/>
      <c r="G85" s="56"/>
      <c r="H85" s="56"/>
      <c r="I85" s="56"/>
      <c r="J85" s="70"/>
      <c r="K85" s="53"/>
      <c r="L85" s="53"/>
      <c r="M85" s="53"/>
      <c r="N85" s="53"/>
      <c r="O85" s="53"/>
      <c r="P85" s="53"/>
      <c r="Q85" s="53"/>
    </row>
    <row r="86" spans="1:17" s="44" customFormat="1" ht="12.75">
      <c r="A86" s="74"/>
      <c r="B86" s="74"/>
      <c r="C86" s="53"/>
      <c r="D86" s="53"/>
      <c r="E86" s="53"/>
      <c r="F86" s="53"/>
      <c r="G86" s="53"/>
      <c r="H86" s="53"/>
      <c r="I86" s="53"/>
      <c r="J86" s="70"/>
      <c r="K86" s="53"/>
      <c r="L86" s="53"/>
      <c r="M86" s="53"/>
      <c r="N86" s="53"/>
      <c r="O86" s="53"/>
      <c r="P86" s="53"/>
      <c r="Q86" s="53"/>
    </row>
    <row r="87" spans="1:17" s="44" customFormat="1" ht="12.75">
      <c r="A87" s="55"/>
      <c r="B87" s="55"/>
      <c r="C87" s="53"/>
      <c r="D87" s="53"/>
      <c r="E87" s="53"/>
      <c r="F87" s="53"/>
      <c r="G87" s="53"/>
      <c r="H87" s="53"/>
      <c r="I87" s="53"/>
      <c r="J87" s="70"/>
      <c r="K87" s="53"/>
      <c r="L87" s="53"/>
      <c r="M87" s="53"/>
      <c r="N87" s="53"/>
      <c r="O87" s="53"/>
      <c r="P87" s="53"/>
      <c r="Q87" s="53"/>
    </row>
    <row r="88" spans="1:17" s="44" customFormat="1" ht="12.75">
      <c r="A88" s="74"/>
      <c r="B88" s="74"/>
      <c r="C88" s="53"/>
      <c r="D88" s="53"/>
      <c r="E88" s="53"/>
      <c r="F88" s="53"/>
      <c r="G88" s="53"/>
      <c r="H88" s="53"/>
      <c r="I88" s="53"/>
      <c r="J88" s="70"/>
      <c r="K88" s="53"/>
      <c r="L88" s="53"/>
      <c r="M88" s="53"/>
      <c r="N88" s="53"/>
      <c r="O88" s="53"/>
      <c r="P88" s="53"/>
      <c r="Q88" s="53"/>
    </row>
    <row r="89" spans="1:17" s="44" customFormat="1" ht="12.75">
      <c r="A89" s="58"/>
      <c r="B89" s="58"/>
      <c r="C89" s="56"/>
      <c r="D89" s="56"/>
      <c r="E89" s="56"/>
      <c r="F89" s="56"/>
      <c r="G89" s="56"/>
      <c r="H89" s="56"/>
      <c r="I89" s="56"/>
      <c r="J89" s="70"/>
      <c r="K89" s="53"/>
      <c r="L89" s="53"/>
      <c r="M89" s="53"/>
      <c r="N89" s="53"/>
      <c r="O89" s="53"/>
      <c r="P89" s="53"/>
      <c r="Q89" s="53"/>
    </row>
    <row r="90" spans="1:17" s="44" customFormat="1" ht="12.75">
      <c r="A90" s="58"/>
      <c r="B90" s="58"/>
      <c r="C90" s="56"/>
      <c r="D90" s="56"/>
      <c r="E90" s="56"/>
      <c r="F90" s="56"/>
      <c r="G90" s="56"/>
      <c r="H90" s="56"/>
      <c r="I90" s="56"/>
      <c r="J90" s="70"/>
      <c r="K90" s="53"/>
      <c r="L90" s="53"/>
      <c r="M90" s="53"/>
      <c r="N90" s="53"/>
      <c r="O90" s="53"/>
      <c r="P90" s="53"/>
      <c r="Q90" s="53"/>
    </row>
    <row r="91" spans="1:17" s="44" customFormat="1" ht="12.75">
      <c r="A91" s="74"/>
      <c r="B91" s="74"/>
      <c r="C91" s="53"/>
      <c r="D91" s="53"/>
      <c r="E91" s="53"/>
      <c r="F91" s="53"/>
      <c r="G91" s="53"/>
      <c r="H91" s="53"/>
      <c r="I91" s="53"/>
      <c r="J91" s="70"/>
      <c r="K91" s="53"/>
      <c r="L91" s="53"/>
      <c r="M91" s="53"/>
      <c r="N91" s="53"/>
      <c r="O91" s="53"/>
      <c r="P91" s="53"/>
      <c r="Q91" s="53"/>
    </row>
    <row r="92" spans="1:17" s="44" customFormat="1" ht="12.75">
      <c r="A92" s="74"/>
      <c r="B92" s="74"/>
      <c r="C92" s="53"/>
      <c r="D92" s="53"/>
      <c r="E92" s="53"/>
      <c r="F92" s="54"/>
      <c r="G92" s="53"/>
      <c r="H92" s="53"/>
      <c r="I92" s="53"/>
      <c r="J92" s="70"/>
      <c r="K92" s="53"/>
      <c r="L92" s="53"/>
      <c r="M92" s="53"/>
      <c r="N92" s="54"/>
      <c r="O92" s="53"/>
      <c r="P92" s="53"/>
      <c r="Q92" s="53"/>
    </row>
    <row r="93" spans="1:17" ht="12.75">
      <c r="A93" s="75"/>
      <c r="B93" s="75"/>
      <c r="C93" s="76"/>
      <c r="D93" s="76"/>
      <c r="E93" s="76"/>
      <c r="F93" s="76"/>
      <c r="G93" s="76"/>
      <c r="H93" s="76"/>
      <c r="I93" s="76"/>
      <c r="J93" s="75"/>
      <c r="K93" s="75"/>
      <c r="L93" s="75"/>
      <c r="M93" s="75"/>
      <c r="N93" s="75"/>
      <c r="O93" s="75"/>
      <c r="P93" s="75"/>
      <c r="Q93" s="75"/>
    </row>
    <row r="94" spans="1:17" ht="21" customHeight="1">
      <c r="A94" s="75"/>
      <c r="B94" s="77"/>
      <c r="C94" s="77"/>
      <c r="D94" s="77"/>
      <c r="E94" s="77"/>
      <c r="F94" s="77"/>
      <c r="G94" s="77"/>
      <c r="H94" s="77"/>
      <c r="I94" s="77"/>
      <c r="J94" s="75"/>
      <c r="K94" s="75"/>
      <c r="L94" s="75"/>
      <c r="M94" s="75"/>
      <c r="N94" s="75"/>
      <c r="O94" s="75"/>
      <c r="P94" s="75"/>
      <c r="Q94" s="75"/>
    </row>
    <row r="102" ht="10.5" customHeight="1"/>
  </sheetData>
  <mergeCells count="7">
    <mergeCell ref="B94:I94"/>
    <mergeCell ref="A4:I4"/>
    <mergeCell ref="K4:Q4"/>
    <mergeCell ref="A34:I34"/>
    <mergeCell ref="B62:I62"/>
    <mergeCell ref="A65:I65"/>
    <mergeCell ref="K65:Q65"/>
  </mergeCells>
  <printOptions/>
  <pageMargins left="0.75" right="0.75" top="1" bottom="1" header="0.4921259845" footer="0.4921259845"/>
  <pageSetup horizontalDpi="600" verticalDpi="600" orientation="landscape" paperSize="9" scale="95" r:id="rId1"/>
  <rowBreaks count="2" manualBreakCount="2">
    <brk id="93" max="8" man="1"/>
    <brk id="1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4">
      <selection activeCell="C7" sqref="C7"/>
    </sheetView>
  </sheetViews>
  <sheetFormatPr defaultColWidth="9.140625" defaultRowHeight="12.75"/>
  <cols>
    <col min="1" max="1" width="2.7109375" style="0" customWidth="1"/>
    <col min="2" max="2" width="43.421875" style="0" customWidth="1"/>
    <col min="3" max="5" width="11.00390625" style="0" customWidth="1"/>
    <col min="6" max="6" width="7.421875" style="0" customWidth="1"/>
    <col min="7" max="9" width="11.00390625" style="0" customWidth="1"/>
    <col min="10" max="10" width="5.00390625" style="0" customWidth="1"/>
    <col min="11" max="13" width="6.140625" style="60" customWidth="1"/>
    <col min="14" max="17" width="9.57421875" style="60" customWidth="1"/>
    <col min="18" max="16384" width="11.00390625" style="0" customWidth="1"/>
  </cols>
  <sheetData>
    <row r="1" spans="1:9" ht="15">
      <c r="A1" s="1" t="s">
        <v>51</v>
      </c>
      <c r="B1" s="2"/>
      <c r="C1" s="3"/>
      <c r="D1" s="3"/>
      <c r="E1" s="3"/>
      <c r="F1" s="3"/>
      <c r="G1" s="3"/>
      <c r="H1" s="3"/>
      <c r="I1" s="3"/>
    </row>
    <row r="2" spans="1:9" ht="30.75">
      <c r="A2" s="4" t="s">
        <v>43</v>
      </c>
      <c r="B2" s="2"/>
      <c r="C2" s="5"/>
      <c r="D2" s="5"/>
      <c r="E2" s="5"/>
      <c r="F2" s="5"/>
      <c r="G2" s="5"/>
      <c r="H2" s="5"/>
      <c r="I2" s="5"/>
    </row>
    <row r="3" spans="1:9" ht="13.5" thickBot="1">
      <c r="A3" s="78" t="s">
        <v>47</v>
      </c>
      <c r="B3" s="78"/>
      <c r="C3" s="78"/>
      <c r="D3" s="78"/>
      <c r="E3" s="78"/>
      <c r="F3" s="78"/>
      <c r="G3" s="78"/>
      <c r="H3" s="78"/>
      <c r="I3" s="78"/>
    </row>
    <row r="4" spans="1:16" ht="21.75">
      <c r="A4" s="6"/>
      <c r="B4" s="6"/>
      <c r="C4" s="7"/>
      <c r="D4" s="7" t="s">
        <v>3</v>
      </c>
      <c r="E4" s="8" t="s">
        <v>4</v>
      </c>
      <c r="F4" s="8"/>
      <c r="G4" s="9" t="s">
        <v>0</v>
      </c>
      <c r="H4" s="9" t="s">
        <v>5</v>
      </c>
      <c r="I4" s="7" t="s">
        <v>1</v>
      </c>
      <c r="K4" s="9" t="s">
        <v>5</v>
      </c>
      <c r="L4" s="7" t="s">
        <v>1</v>
      </c>
      <c r="N4" s="9" t="s">
        <v>0</v>
      </c>
      <c r="O4" s="9" t="s">
        <v>5</v>
      </c>
      <c r="P4" s="7" t="s">
        <v>1</v>
      </c>
    </row>
    <row r="5" spans="1:9" ht="12.75">
      <c r="A5" s="10"/>
      <c r="B5" s="11"/>
      <c r="C5" s="12" t="s">
        <v>6</v>
      </c>
      <c r="D5" s="13" t="s">
        <v>7</v>
      </c>
      <c r="E5" s="14" t="s">
        <v>8</v>
      </c>
      <c r="F5" s="14" t="s">
        <v>9</v>
      </c>
      <c r="G5" s="13" t="s">
        <v>7</v>
      </c>
      <c r="H5" s="13" t="s">
        <v>10</v>
      </c>
      <c r="I5" s="13" t="s">
        <v>2</v>
      </c>
    </row>
    <row r="6" spans="1:9" ht="12.75">
      <c r="A6" s="15"/>
      <c r="B6" s="15"/>
      <c r="C6" s="16" t="s">
        <v>11</v>
      </c>
      <c r="D6" s="17" t="s">
        <v>12</v>
      </c>
      <c r="E6" s="18" t="s">
        <v>13</v>
      </c>
      <c r="F6" s="18"/>
      <c r="G6" s="17" t="s">
        <v>14</v>
      </c>
      <c r="H6" s="17" t="s">
        <v>15</v>
      </c>
      <c r="I6" s="19" t="s">
        <v>16</v>
      </c>
    </row>
    <row r="7" spans="1:17" ht="12.75">
      <c r="A7" s="20" t="s">
        <v>17</v>
      </c>
      <c r="B7" s="21"/>
      <c r="C7" s="22">
        <f>SUM(C8:C10)</f>
        <v>783535.32</v>
      </c>
      <c r="D7" s="22">
        <f aca="true" t="shared" si="0" ref="D7:I7">SUM(D8:D10)</f>
        <v>744916.54</v>
      </c>
      <c r="E7" s="22">
        <f t="shared" si="0"/>
        <v>587685.49</v>
      </c>
      <c r="F7" s="22">
        <f t="shared" si="0"/>
        <v>1</v>
      </c>
      <c r="G7" s="22">
        <f t="shared" si="0"/>
        <v>195849.83</v>
      </c>
      <c r="H7" s="22">
        <f t="shared" si="0"/>
        <v>157231.05</v>
      </c>
      <c r="I7" s="22">
        <f t="shared" si="0"/>
        <v>38618.78</v>
      </c>
      <c r="K7" s="60">
        <v>0.8024691358024691</v>
      </c>
      <c r="L7" s="60">
        <v>0.19753086419753085</v>
      </c>
      <c r="N7" s="61">
        <f>SUM(N8:N10)</f>
        <v>47150.17</v>
      </c>
      <c r="O7" s="61">
        <f>SUM(O8:O10)</f>
        <v>37768.950000000004</v>
      </c>
      <c r="P7" s="61">
        <f>SUM(P8:P10)</f>
        <v>9381.22</v>
      </c>
      <c r="Q7" s="61">
        <f>SUM(Q8:Q10)</f>
        <v>47150.170000000006</v>
      </c>
    </row>
    <row r="8" spans="1:17" ht="18.75">
      <c r="A8" s="23"/>
      <c r="B8" s="23" t="s">
        <v>18</v>
      </c>
      <c r="C8" s="24">
        <f>D8+I8</f>
        <v>323987</v>
      </c>
      <c r="D8" s="24">
        <f>E8+H8</f>
        <v>307842</v>
      </c>
      <c r="E8" s="24">
        <v>242842</v>
      </c>
      <c r="F8" s="36">
        <v>0.3330544644620482</v>
      </c>
      <c r="G8" s="24">
        <f>H8+I8</f>
        <v>81145</v>
      </c>
      <c r="H8" s="24">
        <v>65000</v>
      </c>
      <c r="I8" s="24">
        <v>16145</v>
      </c>
      <c r="K8" s="60">
        <v>0.8010351839300018</v>
      </c>
      <c r="L8" s="60">
        <v>0.19896481606999816</v>
      </c>
      <c r="M8" s="60">
        <f>SUM(K8:L8)</f>
        <v>1</v>
      </c>
      <c r="N8" s="60">
        <v>0</v>
      </c>
      <c r="O8" s="60">
        <f>ROUNDUP($N8*K8,2)</f>
        <v>0</v>
      </c>
      <c r="P8" s="60">
        <f>ROUNDDOWN($N8*L8,2)</f>
        <v>0</v>
      </c>
      <c r="Q8" s="60">
        <f>SUM(O8:P8)</f>
        <v>0</v>
      </c>
    </row>
    <row r="9" spans="1:17" ht="18.75">
      <c r="A9" s="23"/>
      <c r="B9" s="23" t="s">
        <v>19</v>
      </c>
      <c r="C9" s="24">
        <f aca="true" t="shared" si="1" ref="C9:C28">D9+I9</f>
        <v>136069.31999999998</v>
      </c>
      <c r="D9" s="24">
        <f aca="true" t="shared" si="2" ref="D9:D28">E9+H9</f>
        <v>129305.53999999998</v>
      </c>
      <c r="E9" s="59">
        <f>243525-141450.51</f>
        <v>102074.48999999999</v>
      </c>
      <c r="F9" s="36">
        <v>0.3339911895723157</v>
      </c>
      <c r="G9" s="24">
        <f aca="true" t="shared" si="3" ref="G9:G28">H9+I9</f>
        <v>33994.829999999994</v>
      </c>
      <c r="H9" s="59">
        <f>65000-O9</f>
        <v>27231.049999999996</v>
      </c>
      <c r="I9" s="59">
        <f>16145-P9</f>
        <v>6763.780000000001</v>
      </c>
      <c r="K9" s="60">
        <v>0.8010351839300018</v>
      </c>
      <c r="L9" s="60">
        <v>0.19896481606999816</v>
      </c>
      <c r="M9" s="60">
        <f aca="true" t="shared" si="4" ref="M9:M28">SUM(K9:L9)</f>
        <v>1</v>
      </c>
      <c r="N9" s="60">
        <v>47150.17</v>
      </c>
      <c r="O9" s="60">
        <f>ROUNDUP($N9*K9,2)</f>
        <v>37768.950000000004</v>
      </c>
      <c r="P9" s="60">
        <f>ROUNDDOWN($N9*L9,2)</f>
        <v>9381.22</v>
      </c>
      <c r="Q9" s="60">
        <f aca="true" t="shared" si="5" ref="Q9:Q28">SUM(O9:P9)</f>
        <v>47150.170000000006</v>
      </c>
    </row>
    <row r="10" spans="1:17" ht="12.75">
      <c r="A10" s="25"/>
      <c r="B10" s="23" t="s">
        <v>20</v>
      </c>
      <c r="C10" s="24">
        <f t="shared" si="1"/>
        <v>323479</v>
      </c>
      <c r="D10" s="24">
        <f t="shared" si="2"/>
        <v>307769</v>
      </c>
      <c r="E10" s="24">
        <v>242769</v>
      </c>
      <c r="F10" s="36">
        <v>0.33295434596563606</v>
      </c>
      <c r="G10" s="24">
        <f t="shared" si="3"/>
        <v>80710</v>
      </c>
      <c r="H10" s="24">
        <v>65000</v>
      </c>
      <c r="I10" s="24">
        <v>15710</v>
      </c>
      <c r="K10" s="60">
        <v>0.8053524965927394</v>
      </c>
      <c r="L10" s="60">
        <v>0.19464750340726056</v>
      </c>
      <c r="M10" s="60">
        <f t="shared" si="4"/>
        <v>1</v>
      </c>
      <c r="N10" s="60">
        <v>0</v>
      </c>
      <c r="O10" s="60">
        <f>ROUNDUP($N10*K10,2)</f>
        <v>0</v>
      </c>
      <c r="P10" s="60">
        <f>ROUNDDOWN($N10*L10,2)</f>
        <v>0</v>
      </c>
      <c r="Q10" s="60">
        <f t="shared" si="5"/>
        <v>0</v>
      </c>
    </row>
    <row r="11" spans="1:17" ht="12.75">
      <c r="A11" s="26" t="s">
        <v>21</v>
      </c>
      <c r="B11" s="26"/>
      <c r="C11" s="22">
        <f aca="true" t="shared" si="6" ref="C11:I11">SUM(C12:C13)</f>
        <v>312681.51</v>
      </c>
      <c r="D11" s="22">
        <f t="shared" si="6"/>
        <v>297600.67</v>
      </c>
      <c r="E11" s="22">
        <f t="shared" si="6"/>
        <v>234261.13</v>
      </c>
      <c r="F11" s="22">
        <f t="shared" si="6"/>
        <v>0</v>
      </c>
      <c r="G11" s="22">
        <f t="shared" si="6"/>
        <v>78420.38</v>
      </c>
      <c r="H11" s="22">
        <f t="shared" si="6"/>
        <v>63339.54</v>
      </c>
      <c r="I11" s="22">
        <f t="shared" si="6"/>
        <v>15080.84</v>
      </c>
      <c r="K11" s="60">
        <v>0.8024691358024691</v>
      </c>
      <c r="L11" s="60">
        <v>0.19753086419753085</v>
      </c>
      <c r="M11" s="60">
        <f t="shared" si="4"/>
        <v>1</v>
      </c>
      <c r="N11" s="61">
        <f>SUM(N12:N13)</f>
        <v>164579.62</v>
      </c>
      <c r="O11" s="61">
        <f>SUM(O12:O13)</f>
        <v>131660.46000000002</v>
      </c>
      <c r="P11" s="61">
        <f>SUM(P12:P13)</f>
        <v>32919.16</v>
      </c>
      <c r="Q11" s="61">
        <f>SUM(Q12:Q13)</f>
        <v>164579.62000000002</v>
      </c>
    </row>
    <row r="12" spans="1:17" ht="18.75">
      <c r="A12" s="23"/>
      <c r="B12" s="23" t="s">
        <v>22</v>
      </c>
      <c r="C12" s="24">
        <f t="shared" si="1"/>
        <v>0.1300000000046566</v>
      </c>
      <c r="D12" s="24">
        <f t="shared" si="2"/>
        <v>0.1300000000046566</v>
      </c>
      <c r="E12" s="62">
        <f>424533-(493738.87-69206)</f>
        <v>0.1300000000046566</v>
      </c>
      <c r="F12" s="34"/>
      <c r="G12" s="24">
        <f t="shared" si="3"/>
        <v>0</v>
      </c>
      <c r="H12" s="64">
        <f>113670-(O12-17990.46)</f>
        <v>0</v>
      </c>
      <c r="I12" s="64">
        <f>28421-(P12-4498.16)</f>
        <v>0</v>
      </c>
      <c r="K12" s="60">
        <v>0.7999802943184298</v>
      </c>
      <c r="L12" s="60">
        <v>0.20001970568157026</v>
      </c>
      <c r="M12" s="60">
        <f t="shared" si="4"/>
        <v>1</v>
      </c>
      <c r="N12" s="60">
        <v>164579.62</v>
      </c>
      <c r="O12" s="60">
        <f>ROUNDUP($N12*K12,2)</f>
        <v>131660.46000000002</v>
      </c>
      <c r="P12" s="60">
        <f>ROUNDDOWN($N12*L12,2)</f>
        <v>32919.16</v>
      </c>
      <c r="Q12" s="60">
        <f t="shared" si="5"/>
        <v>164579.62000000002</v>
      </c>
    </row>
    <row r="13" spans="1:17" ht="12.75">
      <c r="A13" s="23"/>
      <c r="B13" s="23" t="s">
        <v>23</v>
      </c>
      <c r="C13" s="24">
        <f t="shared" si="1"/>
        <v>312681.38</v>
      </c>
      <c r="D13" s="24">
        <f t="shared" si="2"/>
        <v>297600.54</v>
      </c>
      <c r="E13" s="59">
        <f>303467-69206</f>
        <v>234261</v>
      </c>
      <c r="F13" s="34"/>
      <c r="G13" s="24">
        <f t="shared" si="3"/>
        <v>78420.38</v>
      </c>
      <c r="H13" s="59">
        <f>81330-17990.46</f>
        <v>63339.54</v>
      </c>
      <c r="I13" s="59">
        <f>19579-4498.16</f>
        <v>15080.84</v>
      </c>
      <c r="K13" s="60">
        <v>0.8059736990754046</v>
      </c>
      <c r="L13" s="60">
        <v>0.19402630092459544</v>
      </c>
      <c r="M13" s="60">
        <f t="shared" si="4"/>
        <v>1</v>
      </c>
      <c r="N13" s="60">
        <v>0</v>
      </c>
      <c r="O13" s="60">
        <f>ROUNDUP($N13*K13,2)</f>
        <v>0</v>
      </c>
      <c r="P13" s="60">
        <f>ROUNDDOWN($N13*L13,2)</f>
        <v>0</v>
      </c>
      <c r="Q13" s="60">
        <f t="shared" si="5"/>
        <v>0</v>
      </c>
    </row>
    <row r="14" spans="1:17" ht="12.75">
      <c r="A14" s="26" t="s">
        <v>24</v>
      </c>
      <c r="B14" s="26"/>
      <c r="C14" s="22">
        <f aca="true" t="shared" si="7" ref="C14:I14">SUM(C15:C16)</f>
        <v>543494.77</v>
      </c>
      <c r="D14" s="22">
        <f t="shared" si="7"/>
        <v>516625.67000000004</v>
      </c>
      <c r="E14" s="22">
        <f t="shared" si="7"/>
        <v>407371.08</v>
      </c>
      <c r="F14" s="22">
        <f t="shared" si="7"/>
        <v>0</v>
      </c>
      <c r="G14" s="22">
        <f t="shared" si="7"/>
        <v>136123.69</v>
      </c>
      <c r="H14" s="22">
        <f t="shared" si="7"/>
        <v>109254.59</v>
      </c>
      <c r="I14" s="22">
        <f t="shared" si="7"/>
        <v>26869.1</v>
      </c>
      <c r="K14" s="60">
        <v>0.8026315789473685</v>
      </c>
      <c r="L14" s="60">
        <v>0.19736842105263158</v>
      </c>
      <c r="M14" s="60">
        <f t="shared" si="4"/>
        <v>1</v>
      </c>
      <c r="N14" s="61">
        <f>SUM(N15:N16)</f>
        <v>15876.310000000001</v>
      </c>
      <c r="O14" s="61">
        <f>SUM(O15:O16)</f>
        <v>12745.41</v>
      </c>
      <c r="P14" s="61">
        <f>SUM(P15:P16)</f>
        <v>3130.9</v>
      </c>
      <c r="Q14" s="61">
        <f>SUM(Q15:Q16)</f>
        <v>15876.310000000001</v>
      </c>
    </row>
    <row r="15" spans="1:17" ht="18.75">
      <c r="A15" s="23"/>
      <c r="B15" s="23" t="s">
        <v>25</v>
      </c>
      <c r="C15" s="24">
        <f t="shared" si="1"/>
        <v>211949.85</v>
      </c>
      <c r="D15" s="24">
        <f t="shared" si="2"/>
        <v>201495.48</v>
      </c>
      <c r="E15" s="59">
        <f>182319-23617.61</f>
        <v>158701.39</v>
      </c>
      <c r="F15" s="34"/>
      <c r="G15" s="24">
        <f t="shared" si="3"/>
        <v>53248.45999999999</v>
      </c>
      <c r="H15" s="59">
        <f>49121-O15</f>
        <v>42794.09</v>
      </c>
      <c r="I15" s="59">
        <f>12000-P15</f>
        <v>10454.369999999999</v>
      </c>
      <c r="K15" s="60">
        <v>0.803668133702001</v>
      </c>
      <c r="L15" s="60">
        <v>0.19633186629799906</v>
      </c>
      <c r="M15" s="60">
        <f t="shared" si="4"/>
        <v>1</v>
      </c>
      <c r="N15" s="60">
        <v>7872.54</v>
      </c>
      <c r="O15" s="60">
        <f>ROUNDUP($N15*K15,2)</f>
        <v>6326.91</v>
      </c>
      <c r="P15" s="60">
        <f>ROUNDDOWN($N15*L15,2)</f>
        <v>1545.63</v>
      </c>
      <c r="Q15" s="60">
        <f t="shared" si="5"/>
        <v>7872.54</v>
      </c>
    </row>
    <row r="16" spans="1:17" ht="12.75">
      <c r="A16" s="25"/>
      <c r="B16" s="25" t="s">
        <v>26</v>
      </c>
      <c r="C16" s="24">
        <f t="shared" si="1"/>
        <v>331544.92</v>
      </c>
      <c r="D16" s="24">
        <f t="shared" si="2"/>
        <v>315130.19</v>
      </c>
      <c r="E16" s="59">
        <f>272681-24011.31</f>
        <v>248669.69</v>
      </c>
      <c r="F16" s="34"/>
      <c r="G16" s="24">
        <f t="shared" si="3"/>
        <v>82875.23</v>
      </c>
      <c r="H16" s="59">
        <f>72879-O16</f>
        <v>66460.5</v>
      </c>
      <c r="I16" s="59">
        <f>18000-P16</f>
        <v>16414.73</v>
      </c>
      <c r="K16" s="60">
        <v>0.8019344402997393</v>
      </c>
      <c r="L16" s="60">
        <v>0.1980655597002608</v>
      </c>
      <c r="M16" s="60">
        <f t="shared" si="4"/>
        <v>1</v>
      </c>
      <c r="N16" s="60">
        <v>8003.77</v>
      </c>
      <c r="O16" s="60">
        <f>ROUNDUP($N16*K16,2)</f>
        <v>6418.5</v>
      </c>
      <c r="P16" s="60">
        <f>ROUNDDOWN($N16*L16,2)</f>
        <v>1585.27</v>
      </c>
      <c r="Q16" s="60">
        <f t="shared" si="5"/>
        <v>8003.77</v>
      </c>
    </row>
    <row r="17" spans="1:17" ht="12.75">
      <c r="A17" s="26" t="s">
        <v>27</v>
      </c>
      <c r="B17" s="26"/>
      <c r="C17" s="22">
        <f aca="true" t="shared" si="8" ref="C17:I17">SUM(C18:C19)</f>
        <v>264626.64</v>
      </c>
      <c r="D17" s="22">
        <f t="shared" si="8"/>
        <v>251615.65</v>
      </c>
      <c r="E17" s="22">
        <f t="shared" si="8"/>
        <v>198969.97999999998</v>
      </c>
      <c r="F17" s="22">
        <f t="shared" si="8"/>
        <v>0</v>
      </c>
      <c r="G17" s="22">
        <f t="shared" si="8"/>
        <v>65656.66</v>
      </c>
      <c r="H17" s="22">
        <f t="shared" si="8"/>
        <v>52645.67</v>
      </c>
      <c r="I17" s="22">
        <f t="shared" si="8"/>
        <v>13010.99</v>
      </c>
      <c r="K17" s="60">
        <v>0.801980198019802</v>
      </c>
      <c r="L17" s="60">
        <v>0.19801980198019803</v>
      </c>
      <c r="M17" s="60">
        <f t="shared" si="4"/>
        <v>1</v>
      </c>
      <c r="N17" s="61">
        <f>SUM(N18:N19)</f>
        <v>35343.34</v>
      </c>
      <c r="O17" s="61">
        <f>SUM(O18:O19)</f>
        <v>28354.329999999998</v>
      </c>
      <c r="P17" s="61">
        <f>SUM(P18:P19)</f>
        <v>6989.01</v>
      </c>
      <c r="Q17" s="61">
        <f>SUM(Q18:Q19)</f>
        <v>35343.34</v>
      </c>
    </row>
    <row r="18" spans="1:17" ht="18.75">
      <c r="A18" s="23"/>
      <c r="B18" s="23" t="s">
        <v>28</v>
      </c>
      <c r="C18" s="24">
        <f t="shared" si="1"/>
        <v>121992</v>
      </c>
      <c r="D18" s="24">
        <f t="shared" si="2"/>
        <v>115960</v>
      </c>
      <c r="E18" s="24">
        <v>91628</v>
      </c>
      <c r="F18" s="34"/>
      <c r="G18" s="24">
        <f t="shared" si="3"/>
        <v>30364</v>
      </c>
      <c r="H18" s="24">
        <f>24332</f>
        <v>24332</v>
      </c>
      <c r="I18" s="24">
        <f>6032</f>
        <v>6032</v>
      </c>
      <c r="K18" s="60">
        <v>0.8013436964826769</v>
      </c>
      <c r="L18" s="60">
        <v>0.19865630351732314</v>
      </c>
      <c r="M18" s="60">
        <f t="shared" si="4"/>
        <v>1</v>
      </c>
      <c r="N18" s="60">
        <v>0</v>
      </c>
      <c r="O18" s="60">
        <f>ROUNDUP($N18*K18,2)</f>
        <v>0</v>
      </c>
      <c r="P18" s="60">
        <f>ROUNDDOWN($N18*L18,2)</f>
        <v>0</v>
      </c>
      <c r="Q18" s="60">
        <f t="shared" si="5"/>
        <v>0</v>
      </c>
    </row>
    <row r="19" spans="1:17" ht="18.75">
      <c r="A19" s="23"/>
      <c r="B19" s="23" t="s">
        <v>29</v>
      </c>
      <c r="C19" s="24">
        <f t="shared" si="1"/>
        <v>142634.63999999998</v>
      </c>
      <c r="D19" s="24">
        <f t="shared" si="2"/>
        <v>135655.65</v>
      </c>
      <c r="E19" s="59">
        <f>213372-106030.02</f>
        <v>107341.98</v>
      </c>
      <c r="F19" s="34"/>
      <c r="G19" s="24">
        <f t="shared" si="3"/>
        <v>35292.66</v>
      </c>
      <c r="H19" s="59">
        <f>56668-O19</f>
        <v>28313.670000000002</v>
      </c>
      <c r="I19" s="59">
        <f>13968-P19</f>
        <v>6978.99</v>
      </c>
      <c r="K19" s="60">
        <v>0.8022538082564131</v>
      </c>
      <c r="L19" s="60">
        <v>0.19774619174358685</v>
      </c>
      <c r="M19" s="60">
        <f t="shared" si="4"/>
        <v>1</v>
      </c>
      <c r="N19" s="60">
        <v>35343.34</v>
      </c>
      <c r="O19" s="60">
        <f>ROUNDUP($N19*K19,2)</f>
        <v>28354.329999999998</v>
      </c>
      <c r="P19" s="60">
        <f>ROUNDDOWN($N19*L19,2)</f>
        <v>6989.01</v>
      </c>
      <c r="Q19" s="60">
        <f t="shared" si="5"/>
        <v>35343.34</v>
      </c>
    </row>
    <row r="20" spans="1:17" ht="12.75">
      <c r="A20" s="26" t="s">
        <v>30</v>
      </c>
      <c r="B20" s="26"/>
      <c r="C20" s="22">
        <f aca="true" t="shared" si="9" ref="C20:I20">SUM(C21:C23)</f>
        <v>640406.7</v>
      </c>
      <c r="D20" s="22">
        <f t="shared" si="9"/>
        <v>608668.0800000001</v>
      </c>
      <c r="E20" s="22">
        <f t="shared" si="9"/>
        <v>480305.02</v>
      </c>
      <c r="F20" s="22">
        <f t="shared" si="9"/>
        <v>0</v>
      </c>
      <c r="G20" s="22">
        <f t="shared" si="9"/>
        <v>160101.68</v>
      </c>
      <c r="H20" s="22">
        <f t="shared" si="9"/>
        <v>128363.06</v>
      </c>
      <c r="I20" s="22">
        <f t="shared" si="9"/>
        <v>31738.620000000003</v>
      </c>
      <c r="K20" s="60">
        <v>0.801980198019802</v>
      </c>
      <c r="L20" s="60">
        <v>0.19801980198019803</v>
      </c>
      <c r="M20" s="60">
        <f t="shared" si="4"/>
        <v>1</v>
      </c>
      <c r="N20" s="61">
        <f>SUM(N21:N22)</f>
        <v>41898.32</v>
      </c>
      <c r="O20" s="61">
        <f>SUM(O21:O22)</f>
        <v>33636.94</v>
      </c>
      <c r="P20" s="61">
        <f>SUM(P21:P22)</f>
        <v>8261.38</v>
      </c>
      <c r="Q20" s="61">
        <f>SUM(Q21:Q22)</f>
        <v>41898.32</v>
      </c>
    </row>
    <row r="21" spans="1:17" ht="18.75">
      <c r="A21" s="23"/>
      <c r="B21" s="23" t="s">
        <v>31</v>
      </c>
      <c r="C21" s="24">
        <f t="shared" si="1"/>
        <v>323264</v>
      </c>
      <c r="D21" s="24">
        <f t="shared" si="2"/>
        <v>307391</v>
      </c>
      <c r="E21" s="24">
        <v>242847</v>
      </c>
      <c r="F21" s="34"/>
      <c r="G21" s="24">
        <f t="shared" si="3"/>
        <v>80417</v>
      </c>
      <c r="H21" s="24">
        <f>64544</f>
        <v>64544</v>
      </c>
      <c r="I21" s="24">
        <f>15873</f>
        <v>15873</v>
      </c>
      <c r="K21" s="60">
        <v>0.8026163622119701</v>
      </c>
      <c r="L21" s="60">
        <v>0.1973836377880299</v>
      </c>
      <c r="M21" s="60">
        <f t="shared" si="4"/>
        <v>1</v>
      </c>
      <c r="N21" s="60">
        <v>0</v>
      </c>
      <c r="O21" s="60">
        <f>ROUNDUP($N21*K21,2)</f>
        <v>0</v>
      </c>
      <c r="P21" s="60">
        <f>ROUNDDOWN($N21*L21,2)</f>
        <v>0</v>
      </c>
      <c r="Q21" s="60">
        <f t="shared" si="5"/>
        <v>0</v>
      </c>
    </row>
    <row r="22" spans="1:17" ht="18.75">
      <c r="A22" s="23"/>
      <c r="B22" s="23" t="s">
        <v>32</v>
      </c>
      <c r="C22" s="24">
        <f t="shared" si="1"/>
        <v>115463.7</v>
      </c>
      <c r="D22" s="24">
        <f t="shared" si="2"/>
        <v>109756.08</v>
      </c>
      <c r="E22" s="59">
        <f>212212-125694.98</f>
        <v>86517.02</v>
      </c>
      <c r="F22" s="34"/>
      <c r="G22" s="24">
        <f t="shared" si="3"/>
        <v>28946.68</v>
      </c>
      <c r="H22" s="59">
        <f>56876-O22</f>
        <v>23239.059999999998</v>
      </c>
      <c r="I22" s="59">
        <f>13969-P22</f>
        <v>5707.620000000001</v>
      </c>
      <c r="K22" s="60">
        <v>0.8028230644364458</v>
      </c>
      <c r="L22" s="60">
        <v>0.19717693556355423</v>
      </c>
      <c r="M22" s="60">
        <f t="shared" si="4"/>
        <v>1</v>
      </c>
      <c r="N22" s="60">
        <v>41898.32</v>
      </c>
      <c r="O22" s="60">
        <f>ROUNDUP($N22*K22,2)</f>
        <v>33636.94</v>
      </c>
      <c r="P22" s="60">
        <f>ROUNDDOWN($N22*L22,2)</f>
        <v>8261.38</v>
      </c>
      <c r="Q22" s="60">
        <f t="shared" si="5"/>
        <v>41898.32</v>
      </c>
    </row>
    <row r="23" spans="1:17" ht="12.75">
      <c r="A23" s="23"/>
      <c r="B23" s="23" t="s">
        <v>33</v>
      </c>
      <c r="C23" s="24">
        <f t="shared" si="1"/>
        <v>201679</v>
      </c>
      <c r="D23" s="24">
        <f t="shared" si="2"/>
        <v>191521</v>
      </c>
      <c r="E23" s="24">
        <v>150941</v>
      </c>
      <c r="F23" s="34"/>
      <c r="G23" s="24">
        <f t="shared" si="3"/>
        <v>50738</v>
      </c>
      <c r="H23" s="24">
        <f>40580</f>
        <v>40580</v>
      </c>
      <c r="I23" s="24">
        <f>10158</f>
        <v>10158</v>
      </c>
      <c r="K23" s="60">
        <v>0.799795025424731</v>
      </c>
      <c r="L23" s="60">
        <v>0.20020497457526903</v>
      </c>
      <c r="M23" s="60">
        <f t="shared" si="4"/>
        <v>1</v>
      </c>
      <c r="N23" s="60">
        <v>0</v>
      </c>
      <c r="O23" s="60">
        <f>ROUNDUP($N23*K23,2)</f>
        <v>0</v>
      </c>
      <c r="P23" s="60">
        <f>ROUNDDOWN($N23*L23,2)</f>
        <v>0</v>
      </c>
      <c r="Q23" s="60">
        <f t="shared" si="5"/>
        <v>0</v>
      </c>
    </row>
    <row r="24" spans="1:9" ht="12.75">
      <c r="A24" s="27" t="s">
        <v>34</v>
      </c>
      <c r="B24" s="27" t="s">
        <v>35</v>
      </c>
      <c r="C24" s="22">
        <f aca="true" t="shared" si="10" ref="C24:I24">SUM(C25)</f>
        <v>0</v>
      </c>
      <c r="D24" s="22">
        <f t="shared" si="10"/>
        <v>0</v>
      </c>
      <c r="E24" s="22">
        <f t="shared" si="10"/>
        <v>0</v>
      </c>
      <c r="F24" s="22">
        <f t="shared" si="10"/>
        <v>0</v>
      </c>
      <c r="G24" s="22">
        <f t="shared" si="10"/>
        <v>0</v>
      </c>
      <c r="H24" s="22">
        <f t="shared" si="10"/>
        <v>0</v>
      </c>
      <c r="I24" s="22">
        <f t="shared" si="10"/>
        <v>0</v>
      </c>
    </row>
    <row r="25" spans="1:9" ht="12.75">
      <c r="A25" s="28"/>
      <c r="B25" s="28" t="s">
        <v>36</v>
      </c>
      <c r="C25" s="24">
        <f t="shared" si="1"/>
        <v>0</v>
      </c>
      <c r="D25" s="24">
        <f t="shared" si="2"/>
        <v>0</v>
      </c>
      <c r="E25" s="24">
        <v>0</v>
      </c>
      <c r="F25" s="34"/>
      <c r="G25" s="24">
        <f t="shared" si="3"/>
        <v>0</v>
      </c>
      <c r="H25" s="24">
        <v>0</v>
      </c>
      <c r="I25" s="24">
        <v>0</v>
      </c>
    </row>
    <row r="26" spans="1:17" ht="12.75">
      <c r="A26" s="26" t="s">
        <v>37</v>
      </c>
      <c r="B26" s="26"/>
      <c r="C26" s="22">
        <f aca="true" t="shared" si="11" ref="C26:I26">SUM(C27:C28)</f>
        <v>121273.72999999998</v>
      </c>
      <c r="D26" s="22">
        <f t="shared" si="11"/>
        <v>115246.13999999998</v>
      </c>
      <c r="E26" s="22">
        <f t="shared" si="11"/>
        <v>90705.29999999999</v>
      </c>
      <c r="F26" s="22">
        <f t="shared" si="11"/>
        <v>0</v>
      </c>
      <c r="G26" s="22">
        <f t="shared" si="11"/>
        <v>30568.43</v>
      </c>
      <c r="H26" s="22">
        <f t="shared" si="11"/>
        <v>24540.84</v>
      </c>
      <c r="I26" s="22">
        <f t="shared" si="11"/>
        <v>6027.59</v>
      </c>
      <c r="K26" s="60">
        <v>0.8028169014084507</v>
      </c>
      <c r="L26" s="60">
        <v>0.19718309859154928</v>
      </c>
      <c r="M26" s="60">
        <f t="shared" si="4"/>
        <v>1</v>
      </c>
      <c r="N26" s="61">
        <f>SUM(N27:N28)</f>
        <v>40431.57</v>
      </c>
      <c r="O26" s="61">
        <f>SUM(O27:O28)</f>
        <v>32459.16</v>
      </c>
      <c r="P26" s="61">
        <f>SUM(P27:P28)</f>
        <v>7972.41</v>
      </c>
      <c r="Q26" s="61">
        <f>SUM(Q27:Q28)</f>
        <v>40431.56999999999</v>
      </c>
    </row>
    <row r="27" spans="1:17" ht="12.75">
      <c r="A27" s="29"/>
      <c r="B27" s="29" t="s">
        <v>38</v>
      </c>
      <c r="C27" s="24">
        <f t="shared" si="1"/>
        <v>121273.72999999998</v>
      </c>
      <c r="D27" s="24">
        <f t="shared" si="2"/>
        <v>115246.13999999998</v>
      </c>
      <c r="E27" s="59">
        <f>169600-(1523.32+77371.38)</f>
        <v>90705.29999999999</v>
      </c>
      <c r="F27" s="34"/>
      <c r="G27" s="24">
        <f t="shared" si="3"/>
        <v>30568.43</v>
      </c>
      <c r="H27" s="59">
        <f>45600-(O27+20651.51)</f>
        <v>24540.84</v>
      </c>
      <c r="I27" s="59">
        <f>11200-(P27+5072.29)</f>
        <v>6027.59</v>
      </c>
      <c r="K27" s="60">
        <v>0.8028169014084507</v>
      </c>
      <c r="L27" s="60">
        <v>0.19718309859154928</v>
      </c>
      <c r="M27" s="60">
        <f t="shared" si="4"/>
        <v>1</v>
      </c>
      <c r="N27" s="60">
        <v>507.77</v>
      </c>
      <c r="O27" s="60">
        <f>ROUNDUP($N27*K27,2)</f>
        <v>407.65</v>
      </c>
      <c r="P27" s="60">
        <f>ROUNDDOWN($N27*L27,2)</f>
        <v>100.12</v>
      </c>
      <c r="Q27" s="60">
        <f t="shared" si="5"/>
        <v>507.77</v>
      </c>
    </row>
    <row r="28" spans="1:17" ht="12.75">
      <c r="A28" s="30"/>
      <c r="B28" s="30" t="s">
        <v>39</v>
      </c>
      <c r="C28" s="31">
        <f t="shared" si="1"/>
        <v>0</v>
      </c>
      <c r="D28" s="31">
        <f t="shared" si="2"/>
        <v>0</v>
      </c>
      <c r="E28" s="65">
        <f>42400-(119771.38-77371.38)</f>
        <v>0</v>
      </c>
      <c r="F28" s="35"/>
      <c r="G28" s="31">
        <f t="shared" si="3"/>
        <v>0</v>
      </c>
      <c r="H28" s="66">
        <f>11400-(O28-20651.51)</f>
        <v>0</v>
      </c>
      <c r="I28" s="66">
        <f>2800-(P28-5072.29)</f>
        <v>0</v>
      </c>
      <c r="K28" s="60">
        <v>0.8028169014084507</v>
      </c>
      <c r="L28" s="60">
        <v>0.19718309859154928</v>
      </c>
      <c r="M28" s="60">
        <f t="shared" si="4"/>
        <v>1</v>
      </c>
      <c r="N28" s="60">
        <v>39923.8</v>
      </c>
      <c r="O28" s="60">
        <f>ROUNDUP($N28*K28,2)</f>
        <v>32051.51</v>
      </c>
      <c r="P28" s="60">
        <f>ROUNDDOWN($N28*L28,2)</f>
        <v>7872.29</v>
      </c>
      <c r="Q28" s="60">
        <f t="shared" si="5"/>
        <v>39923.799999999996</v>
      </c>
    </row>
    <row r="29" spans="1:17" ht="12.75">
      <c r="A29" s="26" t="s">
        <v>40</v>
      </c>
      <c r="B29" s="26"/>
      <c r="C29" s="22">
        <f aca="true" t="shared" si="12" ref="C29:I29">C7+C11+C14+C17+C20+C24+C26</f>
        <v>2666018.6700000004</v>
      </c>
      <c r="D29" s="22">
        <f t="shared" si="12"/>
        <v>2534672.75</v>
      </c>
      <c r="E29" s="22">
        <f t="shared" si="12"/>
        <v>1999298</v>
      </c>
      <c r="F29" s="22">
        <f t="shared" si="12"/>
        <v>1</v>
      </c>
      <c r="G29" s="22">
        <f t="shared" si="12"/>
        <v>666720.67</v>
      </c>
      <c r="H29" s="22">
        <f t="shared" si="12"/>
        <v>535374.75</v>
      </c>
      <c r="I29" s="22">
        <f t="shared" si="12"/>
        <v>131345.92</v>
      </c>
      <c r="N29" s="61">
        <f>N26+N20+N17+N14+N11+N7</f>
        <v>345279.33</v>
      </c>
      <c r="O29" s="61">
        <f>O26+O20+O17+O14+O11+O7</f>
        <v>276625.25000000006</v>
      </c>
      <c r="P29" s="61">
        <f>P26+P20+P17+P14+P11+P7</f>
        <v>68654.08</v>
      </c>
      <c r="Q29" s="61">
        <f>Q26+Q20+Q17+Q14+Q11+Q7</f>
        <v>345279.33</v>
      </c>
    </row>
    <row r="30" spans="1:9" ht="13.5" thickBot="1">
      <c r="A30" s="32"/>
      <c r="B30" s="32"/>
      <c r="C30" s="33"/>
      <c r="D30" s="33"/>
      <c r="E30" s="33"/>
      <c r="F30" s="33"/>
      <c r="G30" s="33"/>
      <c r="H30" s="33"/>
      <c r="I30" s="33"/>
    </row>
    <row r="31" spans="2:9" ht="21" customHeight="1">
      <c r="B31" s="77" t="s">
        <v>41</v>
      </c>
      <c r="C31" s="77"/>
      <c r="D31" s="77"/>
      <c r="E31" s="77"/>
      <c r="F31" s="77"/>
      <c r="G31" s="77"/>
      <c r="H31" s="77"/>
      <c r="I31" s="77"/>
    </row>
  </sheetData>
  <mergeCells count="2">
    <mergeCell ref="A3:I3"/>
    <mergeCell ref="B31:I31"/>
  </mergeCells>
  <printOptions/>
  <pageMargins left="0.75" right="0.75" top="1" bottom="1" header="0.4921259845" footer="0.4921259845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E9" sqref="E9"/>
    </sheetView>
  </sheetViews>
  <sheetFormatPr defaultColWidth="9.140625" defaultRowHeight="12.75"/>
  <cols>
    <col min="1" max="1" width="2.7109375" style="0" customWidth="1"/>
    <col min="2" max="2" width="43.421875" style="0" customWidth="1"/>
    <col min="3" max="5" width="11.00390625" style="0" customWidth="1"/>
    <col min="6" max="6" width="7.421875" style="0" customWidth="1"/>
    <col min="7" max="16384" width="11.00390625" style="0" customWidth="1"/>
  </cols>
  <sheetData>
    <row r="1" spans="1:9" ht="15">
      <c r="A1" s="1" t="s">
        <v>51</v>
      </c>
      <c r="B1" s="2"/>
      <c r="C1" s="3"/>
      <c r="D1" s="3"/>
      <c r="E1" s="3"/>
      <c r="F1" s="3"/>
      <c r="G1" s="3"/>
      <c r="H1" s="3"/>
      <c r="I1" s="3"/>
    </row>
    <row r="2" spans="1:9" ht="30.75">
      <c r="A2" s="4" t="s">
        <v>44</v>
      </c>
      <c r="B2" s="2"/>
      <c r="C2" s="5"/>
      <c r="D2" s="5"/>
      <c r="E2" s="5"/>
      <c r="F2" s="5"/>
      <c r="G2" s="5"/>
      <c r="H2" s="5"/>
      <c r="I2" s="5"/>
    </row>
    <row r="3" spans="1:9" ht="13.5" thickBot="1">
      <c r="A3" s="79" t="s">
        <v>48</v>
      </c>
      <c r="B3" s="79"/>
      <c r="C3" s="79"/>
      <c r="D3" s="79"/>
      <c r="E3" s="79"/>
      <c r="F3" s="79"/>
      <c r="G3" s="79"/>
      <c r="H3" s="79"/>
      <c r="I3" s="79"/>
    </row>
    <row r="4" spans="1:9" ht="21.75">
      <c r="A4" s="6"/>
      <c r="B4" s="6"/>
      <c r="C4" s="7"/>
      <c r="D4" s="7" t="s">
        <v>3</v>
      </c>
      <c r="E4" s="8" t="s">
        <v>4</v>
      </c>
      <c r="F4" s="8"/>
      <c r="G4" s="9" t="s">
        <v>0</v>
      </c>
      <c r="H4" s="9" t="s">
        <v>5</v>
      </c>
      <c r="I4" s="7" t="s">
        <v>1</v>
      </c>
    </row>
    <row r="5" spans="1:9" ht="12.75">
      <c r="A5" s="10"/>
      <c r="B5" s="11"/>
      <c r="C5" s="12" t="s">
        <v>6</v>
      </c>
      <c r="D5" s="13" t="s">
        <v>7</v>
      </c>
      <c r="E5" s="14" t="s">
        <v>8</v>
      </c>
      <c r="F5" s="14" t="s">
        <v>9</v>
      </c>
      <c r="G5" s="13" t="s">
        <v>7</v>
      </c>
      <c r="H5" s="13" t="s">
        <v>10</v>
      </c>
      <c r="I5" s="13" t="s">
        <v>2</v>
      </c>
    </row>
    <row r="6" spans="1:9" ht="12.75">
      <c r="A6" s="15"/>
      <c r="B6" s="15"/>
      <c r="C6" s="16" t="s">
        <v>11</v>
      </c>
      <c r="D6" s="17" t="s">
        <v>12</v>
      </c>
      <c r="E6" s="18" t="s">
        <v>13</v>
      </c>
      <c r="F6" s="18"/>
      <c r="G6" s="17" t="s">
        <v>14</v>
      </c>
      <c r="H6" s="17" t="s">
        <v>15</v>
      </c>
      <c r="I6" s="19" t="s">
        <v>16</v>
      </c>
    </row>
    <row r="7" spans="1:17" ht="12.75">
      <c r="A7" s="20" t="s">
        <v>17</v>
      </c>
      <c r="B7" s="21"/>
      <c r="C7" s="22">
        <f>SUM(C8:C10)</f>
        <v>990995</v>
      </c>
      <c r="D7" s="22">
        <f>SUM(D8:D10)</f>
        <v>940839</v>
      </c>
      <c r="E7" s="22">
        <f>SUM(E8:E10)</f>
        <v>743213</v>
      </c>
      <c r="F7" s="37"/>
      <c r="G7" s="22">
        <f>SUM(G8:G10)</f>
        <v>247782</v>
      </c>
      <c r="H7" s="22">
        <f>SUM(H8:H10)</f>
        <v>197626</v>
      </c>
      <c r="I7" s="22">
        <f>SUM(I8:I10)</f>
        <v>50156</v>
      </c>
      <c r="J7" s="41">
        <f>E7/C7</f>
        <v>0.7499664478630064</v>
      </c>
      <c r="K7" s="22">
        <f>SUM(K8:K10)</f>
        <v>990950</v>
      </c>
      <c r="L7" s="22">
        <f>SUM(L8:L10)</f>
        <v>941403</v>
      </c>
      <c r="M7" s="22">
        <f>SUM(M8:M10)</f>
        <v>743213</v>
      </c>
      <c r="N7" s="37" t="e">
        <f>M7/$E$64</f>
        <v>#DIV/0!</v>
      </c>
      <c r="O7" s="22">
        <f>SUM(O8:O10)</f>
        <v>247737</v>
      </c>
      <c r="P7" s="22">
        <f>SUM(P8:P10)</f>
        <v>198190</v>
      </c>
      <c r="Q7" s="22">
        <f>SUM(Q8:Q10)</f>
        <v>49547</v>
      </c>
    </row>
    <row r="8" spans="1:17" ht="18.75">
      <c r="A8" s="23"/>
      <c r="B8" s="23" t="s">
        <v>18</v>
      </c>
      <c r="C8" s="24">
        <f>D8+I8</f>
        <v>329842</v>
      </c>
      <c r="D8" s="24">
        <f>E8+H8</f>
        <v>313296</v>
      </c>
      <c r="E8" s="24">
        <v>247530</v>
      </c>
      <c r="F8" s="38"/>
      <c r="G8" s="24">
        <f>H8+I8</f>
        <v>82312</v>
      </c>
      <c r="H8" s="24">
        <f>66008-242</f>
        <v>65766</v>
      </c>
      <c r="I8" s="24">
        <f>16502+44</f>
        <v>16546</v>
      </c>
      <c r="J8" s="41">
        <f aca="true" t="shared" si="0" ref="J8:J29">E8/C8</f>
        <v>0.7504502155577519</v>
      </c>
      <c r="K8" s="24">
        <f>L8+Q8</f>
        <v>330040</v>
      </c>
      <c r="L8" s="24">
        <f>M8+P8</f>
        <v>313538</v>
      </c>
      <c r="M8" s="24">
        <v>247530</v>
      </c>
      <c r="N8" s="38" t="e">
        <f aca="true" t="shared" si="1" ref="N8:N29">M8/$E$64</f>
        <v>#DIV/0!</v>
      </c>
      <c r="O8" s="24">
        <f>P8+Q8</f>
        <v>82510</v>
      </c>
      <c r="P8" s="24">
        <v>66008</v>
      </c>
      <c r="Q8" s="24">
        <v>16502</v>
      </c>
    </row>
    <row r="9" spans="1:17" ht="18.75">
      <c r="A9" s="23"/>
      <c r="B9" s="23" t="s">
        <v>19</v>
      </c>
      <c r="C9" s="24">
        <f>D9+I9</f>
        <v>330999</v>
      </c>
      <c r="D9" s="24">
        <f>E9+H9</f>
        <v>314361</v>
      </c>
      <c r="E9" s="24">
        <v>248227</v>
      </c>
      <c r="F9" s="38"/>
      <c r="G9" s="24">
        <f>H9+I9</f>
        <v>82772</v>
      </c>
      <c r="H9" s="24">
        <f>66194-60</f>
        <v>66134</v>
      </c>
      <c r="I9" s="24">
        <f>16548+90</f>
        <v>16638</v>
      </c>
      <c r="J9" s="41">
        <f t="shared" si="0"/>
        <v>0.7499327792531095</v>
      </c>
      <c r="K9" s="24">
        <f>L9+Q9</f>
        <v>330969</v>
      </c>
      <c r="L9" s="24">
        <f>M9+P9</f>
        <v>314421</v>
      </c>
      <c r="M9" s="24">
        <v>248227</v>
      </c>
      <c r="N9" s="38" t="e">
        <f t="shared" si="1"/>
        <v>#DIV/0!</v>
      </c>
      <c r="O9" s="24">
        <f>P9+Q9</f>
        <v>82742</v>
      </c>
      <c r="P9" s="24">
        <v>66194</v>
      </c>
      <c r="Q9" s="24">
        <v>16548</v>
      </c>
    </row>
    <row r="10" spans="1:17" ht="12.75">
      <c r="A10" s="25"/>
      <c r="B10" s="23" t="s">
        <v>20</v>
      </c>
      <c r="C10" s="24">
        <f>D10+I10</f>
        <v>330154</v>
      </c>
      <c r="D10" s="24">
        <f>E10+H10</f>
        <v>313182</v>
      </c>
      <c r="E10" s="24">
        <v>247456</v>
      </c>
      <c r="F10" s="38"/>
      <c r="G10" s="24">
        <f>H10+I10</f>
        <v>82698</v>
      </c>
      <c r="H10" s="24">
        <f>65988-262</f>
        <v>65726</v>
      </c>
      <c r="I10" s="24">
        <f>16497+475</f>
        <v>16972</v>
      </c>
      <c r="J10" s="41">
        <f t="shared" si="0"/>
        <v>0.7495168921170121</v>
      </c>
      <c r="K10" s="24">
        <f>L10+Q10</f>
        <v>329941</v>
      </c>
      <c r="L10" s="24">
        <f>M10+P10</f>
        <v>313444</v>
      </c>
      <c r="M10" s="24">
        <v>247456</v>
      </c>
      <c r="N10" s="38" t="e">
        <f t="shared" si="1"/>
        <v>#DIV/0!</v>
      </c>
      <c r="O10" s="24">
        <f>P10+Q10</f>
        <v>82485</v>
      </c>
      <c r="P10" s="24">
        <v>65988</v>
      </c>
      <c r="Q10" s="24">
        <v>16497</v>
      </c>
    </row>
    <row r="11" spans="1:17" ht="12.75">
      <c r="A11" s="26" t="s">
        <v>21</v>
      </c>
      <c r="B11" s="26"/>
      <c r="C11" s="22">
        <f>SUM(C12:C13)</f>
        <v>990334</v>
      </c>
      <c r="D11" s="22">
        <f>SUM(D12:D13)</f>
        <v>940268</v>
      </c>
      <c r="E11" s="22">
        <f>SUM(E12:E13)</f>
        <v>743000</v>
      </c>
      <c r="F11" s="37"/>
      <c r="G11" s="22">
        <f>SUM(G12:G13)</f>
        <v>247334</v>
      </c>
      <c r="H11" s="22">
        <f>SUM(H12:H13)</f>
        <v>197268</v>
      </c>
      <c r="I11" s="22">
        <f>SUM(I12:I13)</f>
        <v>50066</v>
      </c>
      <c r="J11" s="41">
        <f t="shared" si="0"/>
        <v>0.7502519352056983</v>
      </c>
      <c r="K11" s="22">
        <f>SUM(K12:K13)</f>
        <v>990667</v>
      </c>
      <c r="L11" s="22">
        <f>SUM(L12:L13)</f>
        <v>941134</v>
      </c>
      <c r="M11" s="22">
        <f>SUM(M12:M13)</f>
        <v>743000</v>
      </c>
      <c r="N11" s="37" t="e">
        <f t="shared" si="1"/>
        <v>#DIV/0!</v>
      </c>
      <c r="O11" s="22">
        <f>SUM(O12:O13)</f>
        <v>247667</v>
      </c>
      <c r="P11" s="22">
        <f>SUM(P12:P13)</f>
        <v>198134</v>
      </c>
      <c r="Q11" s="22">
        <f>SUM(Q12:Q13)</f>
        <v>49533</v>
      </c>
    </row>
    <row r="12" spans="1:17" ht="18.75">
      <c r="A12" s="23"/>
      <c r="B12" s="23" t="s">
        <v>22</v>
      </c>
      <c r="C12" s="24">
        <f>D12+I12</f>
        <v>485433.38000000006</v>
      </c>
      <c r="D12" s="24">
        <f>E12+H12</f>
        <v>461165.54000000004</v>
      </c>
      <c r="E12" s="59">
        <f>433281-69206</f>
        <v>364075</v>
      </c>
      <c r="F12" s="38"/>
      <c r="G12" s="24">
        <f>H12+I12</f>
        <v>121358.38</v>
      </c>
      <c r="H12" s="59">
        <f>115542-461-17990.46</f>
        <v>97090.54000000001</v>
      </c>
      <c r="I12" s="59">
        <f>28885-119-4498.16</f>
        <v>24267.84</v>
      </c>
      <c r="J12" s="41">
        <f t="shared" si="0"/>
        <v>0.7499999278994781</v>
      </c>
      <c r="K12" s="24">
        <f>L12+Q12</f>
        <v>577708</v>
      </c>
      <c r="L12" s="24">
        <f>M12+P12</f>
        <v>548823</v>
      </c>
      <c r="M12" s="24">
        <v>433281</v>
      </c>
      <c r="N12" s="38" t="e">
        <f t="shared" si="1"/>
        <v>#DIV/0!</v>
      </c>
      <c r="O12" s="24">
        <f>P12+Q12</f>
        <v>144427</v>
      </c>
      <c r="P12" s="24">
        <v>115542</v>
      </c>
      <c r="Q12" s="24">
        <v>28885</v>
      </c>
    </row>
    <row r="13" spans="1:17" ht="12.75">
      <c r="A13" s="23"/>
      <c r="B13" s="23" t="s">
        <v>23</v>
      </c>
      <c r="C13" s="24">
        <f>D13+I13</f>
        <v>504900.61999999994</v>
      </c>
      <c r="D13" s="24">
        <f>E13+H13</f>
        <v>479102.45999999996</v>
      </c>
      <c r="E13" s="59">
        <f>309719+69206</f>
        <v>378925</v>
      </c>
      <c r="F13" s="38"/>
      <c r="G13" s="24">
        <f>H13+I13</f>
        <v>125975.62</v>
      </c>
      <c r="H13" s="59">
        <f>82592-405+17990.46</f>
        <v>100177.45999999999</v>
      </c>
      <c r="I13" s="59">
        <f>20648+652+4498.16</f>
        <v>25798.16</v>
      </c>
      <c r="J13" s="41">
        <f t="shared" si="0"/>
        <v>0.7504942259726282</v>
      </c>
      <c r="K13" s="24">
        <f>L13+Q13</f>
        <v>412959</v>
      </c>
      <c r="L13" s="24">
        <f>M13+P13</f>
        <v>392311</v>
      </c>
      <c r="M13" s="24">
        <v>309719</v>
      </c>
      <c r="N13" s="38" t="e">
        <f t="shared" si="1"/>
        <v>#DIV/0!</v>
      </c>
      <c r="O13" s="24">
        <f>P13+Q13</f>
        <v>103240</v>
      </c>
      <c r="P13" s="24">
        <v>82592</v>
      </c>
      <c r="Q13" s="24">
        <v>20648</v>
      </c>
    </row>
    <row r="14" spans="1:17" ht="12.75">
      <c r="A14" s="26" t="s">
        <v>24</v>
      </c>
      <c r="B14" s="26"/>
      <c r="C14" s="22">
        <f>SUM(C15:C16)</f>
        <v>618333</v>
      </c>
      <c r="D14" s="22">
        <f>SUM(D15:D16)</f>
        <v>587066</v>
      </c>
      <c r="E14" s="22">
        <f>SUM(E15:E16)</f>
        <v>464000</v>
      </c>
      <c r="F14" s="37"/>
      <c r="G14" s="22">
        <f>SUM(G15:G16)</f>
        <v>154333</v>
      </c>
      <c r="H14" s="22">
        <f>SUM(H15:H16)</f>
        <v>123066</v>
      </c>
      <c r="I14" s="22">
        <f>SUM(I15:I16)</f>
        <v>31267</v>
      </c>
      <c r="J14" s="41">
        <f t="shared" si="0"/>
        <v>0.7504047171993085</v>
      </c>
      <c r="K14" s="22">
        <f>SUM(K15:K16)</f>
        <v>618666</v>
      </c>
      <c r="L14" s="22">
        <f>SUM(L15:L16)</f>
        <v>587733</v>
      </c>
      <c r="M14" s="22">
        <f>SUM(M15:M16)</f>
        <v>464000</v>
      </c>
      <c r="N14" s="37" t="e">
        <f t="shared" si="1"/>
        <v>#DIV/0!</v>
      </c>
      <c r="O14" s="22">
        <f>SUM(O15:O16)</f>
        <v>154666</v>
      </c>
      <c r="P14" s="22">
        <f>SUM(P15:P16)</f>
        <v>123733</v>
      </c>
      <c r="Q14" s="22">
        <f>SUM(Q15:Q16)</f>
        <v>30933</v>
      </c>
    </row>
    <row r="15" spans="1:17" ht="18.75">
      <c r="A15" s="23"/>
      <c r="B15" s="23" t="s">
        <v>25</v>
      </c>
      <c r="C15" s="24">
        <f>D15+I15</f>
        <v>247553</v>
      </c>
      <c r="D15" s="24">
        <f>E15+H15</f>
        <v>235003</v>
      </c>
      <c r="E15" s="24">
        <v>185926</v>
      </c>
      <c r="F15" s="38"/>
      <c r="G15" s="24">
        <f>H15+I15</f>
        <v>61627</v>
      </c>
      <c r="H15" s="24">
        <f>49580-503</f>
        <v>49077</v>
      </c>
      <c r="I15" s="24">
        <f>12395+155</f>
        <v>12550</v>
      </c>
      <c r="J15" s="41">
        <f t="shared" si="0"/>
        <v>0.7510553295657899</v>
      </c>
      <c r="K15" s="24">
        <f>L15+Q15</f>
        <v>247901</v>
      </c>
      <c r="L15" s="24">
        <f>M15+P15</f>
        <v>235506</v>
      </c>
      <c r="M15" s="24">
        <v>185926</v>
      </c>
      <c r="N15" s="38" t="e">
        <f t="shared" si="1"/>
        <v>#DIV/0!</v>
      </c>
      <c r="O15" s="24">
        <f>P15+Q15</f>
        <v>61975</v>
      </c>
      <c r="P15" s="24">
        <v>49580</v>
      </c>
      <c r="Q15" s="24">
        <v>12395</v>
      </c>
    </row>
    <row r="16" spans="1:17" ht="12.75">
      <c r="A16" s="25"/>
      <c r="B16" s="25" t="s">
        <v>26</v>
      </c>
      <c r="C16" s="24">
        <f>D16+I16</f>
        <v>370780</v>
      </c>
      <c r="D16" s="24">
        <f>E16+H16</f>
        <v>352063</v>
      </c>
      <c r="E16" s="24">
        <v>278074</v>
      </c>
      <c r="F16" s="38"/>
      <c r="G16" s="24">
        <f>H16+I16</f>
        <v>92706</v>
      </c>
      <c r="H16" s="24">
        <f>74153-164</f>
        <v>73989</v>
      </c>
      <c r="I16" s="24">
        <f>18538+179</f>
        <v>18717</v>
      </c>
      <c r="J16" s="41">
        <f t="shared" si="0"/>
        <v>0.7499703328119101</v>
      </c>
      <c r="K16" s="24">
        <f>L16+Q16</f>
        <v>370765</v>
      </c>
      <c r="L16" s="24">
        <f>M16+P16</f>
        <v>352227</v>
      </c>
      <c r="M16" s="24">
        <v>278074</v>
      </c>
      <c r="N16" s="38" t="e">
        <f t="shared" si="1"/>
        <v>#DIV/0!</v>
      </c>
      <c r="O16" s="24">
        <f>P16+Q16</f>
        <v>92691</v>
      </c>
      <c r="P16" s="24">
        <v>74153</v>
      </c>
      <c r="Q16" s="24">
        <v>18538</v>
      </c>
    </row>
    <row r="17" spans="1:17" ht="12.75">
      <c r="A17" s="26" t="s">
        <v>27</v>
      </c>
      <c r="B17" s="26"/>
      <c r="C17" s="22">
        <f>SUM(C18:C19)</f>
        <v>414001</v>
      </c>
      <c r="D17" s="22">
        <f>SUM(D18:D19)</f>
        <v>393000</v>
      </c>
      <c r="E17" s="22">
        <f>SUM(E18:E19)</f>
        <v>310000</v>
      </c>
      <c r="F17" s="37"/>
      <c r="G17" s="22">
        <f>SUM(G18:G19)</f>
        <v>104001</v>
      </c>
      <c r="H17" s="22">
        <f>SUM(H18:H19)</f>
        <v>83000</v>
      </c>
      <c r="I17" s="22">
        <f>SUM(I18:I19)</f>
        <v>21001</v>
      </c>
      <c r="J17" s="41">
        <f t="shared" si="0"/>
        <v>0.7487904618587877</v>
      </c>
      <c r="K17" s="22">
        <f>SUM(K18:K19)</f>
        <v>413334</v>
      </c>
      <c r="L17" s="22">
        <f>SUM(L18:L19)</f>
        <v>392667</v>
      </c>
      <c r="M17" s="22">
        <f>SUM(M18:M19)</f>
        <v>310000</v>
      </c>
      <c r="N17" s="37" t="e">
        <f t="shared" si="1"/>
        <v>#DIV/0!</v>
      </c>
      <c r="O17" s="22">
        <f>SUM(O18:O19)</f>
        <v>103334</v>
      </c>
      <c r="P17" s="22">
        <f>SUM(P18:P19)</f>
        <v>82667</v>
      </c>
      <c r="Q17" s="22">
        <f>SUM(Q18:Q19)</f>
        <v>20667</v>
      </c>
    </row>
    <row r="18" spans="1:17" ht="18.75">
      <c r="A18" s="23"/>
      <c r="B18" s="23" t="s">
        <v>28</v>
      </c>
      <c r="C18" s="24">
        <f>D18+I18</f>
        <v>124353</v>
      </c>
      <c r="D18" s="24">
        <f>E18+H18</f>
        <v>118067</v>
      </c>
      <c r="E18" s="24">
        <v>93130</v>
      </c>
      <c r="F18" s="38"/>
      <c r="G18" s="24">
        <f>H18+I18</f>
        <v>31223</v>
      </c>
      <c r="H18" s="24">
        <f>24835+102</f>
        <v>24937</v>
      </c>
      <c r="I18" s="24">
        <f>6209+77</f>
        <v>6286</v>
      </c>
      <c r="J18" s="41">
        <f t="shared" si="0"/>
        <v>0.7489163912410638</v>
      </c>
      <c r="K18" s="24">
        <f>L18+Q18</f>
        <v>124174</v>
      </c>
      <c r="L18" s="24">
        <f>M18+P18</f>
        <v>117965</v>
      </c>
      <c r="M18" s="24">
        <v>93130</v>
      </c>
      <c r="N18" s="38" t="e">
        <f t="shared" si="1"/>
        <v>#DIV/0!</v>
      </c>
      <c r="O18" s="24">
        <f>P18+Q18</f>
        <v>31044</v>
      </c>
      <c r="P18" s="24">
        <v>24835</v>
      </c>
      <c r="Q18" s="24">
        <v>6209</v>
      </c>
    </row>
    <row r="19" spans="1:17" ht="18.75">
      <c r="A19" s="23"/>
      <c r="B19" s="23" t="s">
        <v>29</v>
      </c>
      <c r="C19" s="24">
        <f>D19+I19</f>
        <v>289648</v>
      </c>
      <c r="D19" s="24">
        <f>E19+H19</f>
        <v>274933</v>
      </c>
      <c r="E19" s="24">
        <v>216870</v>
      </c>
      <c r="F19" s="38"/>
      <c r="G19" s="24">
        <f>H19+I19</f>
        <v>72778</v>
      </c>
      <c r="H19" s="24">
        <f>57832+231</f>
        <v>58063</v>
      </c>
      <c r="I19" s="24">
        <f>14458+257</f>
        <v>14715</v>
      </c>
      <c r="J19" s="41">
        <f t="shared" si="0"/>
        <v>0.7487363972822184</v>
      </c>
      <c r="K19" s="24">
        <f>L19+Q19</f>
        <v>289160</v>
      </c>
      <c r="L19" s="24">
        <f>M19+P19</f>
        <v>274702</v>
      </c>
      <c r="M19" s="24">
        <v>216870</v>
      </c>
      <c r="N19" s="38" t="e">
        <f t="shared" si="1"/>
        <v>#DIV/0!</v>
      </c>
      <c r="O19" s="24">
        <f>P19+Q19</f>
        <v>72290</v>
      </c>
      <c r="P19" s="24">
        <v>57832</v>
      </c>
      <c r="Q19" s="24">
        <v>14458</v>
      </c>
    </row>
    <row r="20" spans="1:17" ht="12.75">
      <c r="A20" s="26" t="s">
        <v>30</v>
      </c>
      <c r="B20" s="26"/>
      <c r="C20" s="22">
        <f>SUM(C21:C23)</f>
        <v>825334</v>
      </c>
      <c r="D20" s="22">
        <f>SUM(D21:D23)</f>
        <v>783667</v>
      </c>
      <c r="E20" s="22">
        <f>SUM(E21:E23)</f>
        <v>619000</v>
      </c>
      <c r="F20" s="37"/>
      <c r="G20" s="22">
        <f>SUM(G21:G23)</f>
        <v>206334</v>
      </c>
      <c r="H20" s="22">
        <f>SUM(H21:H23)</f>
        <v>164667</v>
      </c>
      <c r="I20" s="22">
        <f>SUM(I21:I23)</f>
        <v>41667</v>
      </c>
      <c r="J20" s="41">
        <f t="shared" si="0"/>
        <v>0.7499993941846573</v>
      </c>
      <c r="K20" s="22">
        <f>SUM(K21:K23)</f>
        <v>825334</v>
      </c>
      <c r="L20" s="22">
        <f>SUM(L21:L23)</f>
        <v>784067</v>
      </c>
      <c r="M20" s="22">
        <f>SUM(M21:M23)</f>
        <v>619000</v>
      </c>
      <c r="N20" s="37" t="e">
        <f t="shared" si="1"/>
        <v>#DIV/0!</v>
      </c>
      <c r="O20" s="22">
        <f>SUM(O21:O23)</f>
        <v>206334</v>
      </c>
      <c r="P20" s="22">
        <f>SUM(P21:P23)</f>
        <v>165067</v>
      </c>
      <c r="Q20" s="22">
        <f>SUM(Q21:Q23)</f>
        <v>41267</v>
      </c>
    </row>
    <row r="21" spans="1:17" ht="18.75">
      <c r="A21" s="23"/>
      <c r="B21" s="23" t="s">
        <v>31</v>
      </c>
      <c r="C21" s="24">
        <f>D21+I21</f>
        <v>331273</v>
      </c>
      <c r="D21" s="24">
        <f>E21+H21</f>
        <v>314419</v>
      </c>
      <c r="E21" s="24">
        <v>248056</v>
      </c>
      <c r="F21" s="38"/>
      <c r="G21" s="24">
        <f>H21+I21</f>
        <v>83217</v>
      </c>
      <c r="H21" s="24">
        <f>66148+215</f>
        <v>66363</v>
      </c>
      <c r="I21" s="24">
        <f>16537+317</f>
        <v>16854</v>
      </c>
      <c r="J21" s="41">
        <f t="shared" si="0"/>
        <v>0.7487963099920609</v>
      </c>
      <c r="K21" s="24">
        <f>L21+Q21</f>
        <v>330741</v>
      </c>
      <c r="L21" s="24">
        <f>M21+P21</f>
        <v>314204</v>
      </c>
      <c r="M21" s="24">
        <v>248056</v>
      </c>
      <c r="N21" s="38" t="e">
        <f t="shared" si="1"/>
        <v>#DIV/0!</v>
      </c>
      <c r="O21" s="24">
        <f>P21+Q21</f>
        <v>82685</v>
      </c>
      <c r="P21" s="24">
        <v>66148</v>
      </c>
      <c r="Q21" s="24">
        <v>16537</v>
      </c>
    </row>
    <row r="22" spans="1:17" ht="18.75">
      <c r="A22" s="23"/>
      <c r="B22" s="23" t="s">
        <v>32</v>
      </c>
      <c r="C22" s="24">
        <f>D22+I22</f>
        <v>288911</v>
      </c>
      <c r="D22" s="24">
        <f>E22+H22</f>
        <v>274282</v>
      </c>
      <c r="E22" s="24">
        <v>216764</v>
      </c>
      <c r="F22" s="38"/>
      <c r="G22" s="24">
        <f>H22+I22</f>
        <v>72147</v>
      </c>
      <c r="H22" s="24">
        <f>57804-286</f>
        <v>57518</v>
      </c>
      <c r="I22" s="24">
        <f>14451+178</f>
        <v>14629</v>
      </c>
      <c r="J22" s="41">
        <f t="shared" si="0"/>
        <v>0.7502794978384347</v>
      </c>
      <c r="K22" s="24">
        <f>L22+Q22</f>
        <v>289019</v>
      </c>
      <c r="L22" s="24">
        <f>M22+P22</f>
        <v>274568</v>
      </c>
      <c r="M22" s="24">
        <v>216764</v>
      </c>
      <c r="N22" s="38" t="e">
        <f t="shared" si="1"/>
        <v>#DIV/0!</v>
      </c>
      <c r="O22" s="24">
        <f>P22+Q22</f>
        <v>72255</v>
      </c>
      <c r="P22" s="24">
        <v>57804</v>
      </c>
      <c r="Q22" s="24">
        <v>14451</v>
      </c>
    </row>
    <row r="23" spans="1:17" ht="12.75">
      <c r="A23" s="23"/>
      <c r="B23" s="23" t="s">
        <v>33</v>
      </c>
      <c r="C23" s="24">
        <f>D23+I23</f>
        <v>205150</v>
      </c>
      <c r="D23" s="24">
        <f>E23+H23</f>
        <v>194966</v>
      </c>
      <c r="E23" s="24">
        <v>154180</v>
      </c>
      <c r="F23" s="38"/>
      <c r="G23" s="24">
        <f>H23+I23</f>
        <v>50970</v>
      </c>
      <c r="H23" s="24">
        <f>41115-329</f>
        <v>40786</v>
      </c>
      <c r="I23" s="24">
        <f>10279-95</f>
        <v>10184</v>
      </c>
      <c r="J23" s="41">
        <f t="shared" si="0"/>
        <v>0.7515476480623934</v>
      </c>
      <c r="K23" s="24">
        <f>L23+Q23</f>
        <v>205574</v>
      </c>
      <c r="L23" s="24">
        <f>M23+P23</f>
        <v>195295</v>
      </c>
      <c r="M23" s="24">
        <v>154180</v>
      </c>
      <c r="N23" s="38" t="e">
        <f t="shared" si="1"/>
        <v>#DIV/0!</v>
      </c>
      <c r="O23" s="24">
        <f>P23+Q23</f>
        <v>51394</v>
      </c>
      <c r="P23" s="24">
        <v>41115</v>
      </c>
      <c r="Q23" s="24">
        <v>10279</v>
      </c>
    </row>
    <row r="24" spans="1:17" ht="12.75">
      <c r="A24" s="27" t="s">
        <v>34</v>
      </c>
      <c r="B24" s="27" t="s">
        <v>35</v>
      </c>
      <c r="C24" s="22">
        <v>0</v>
      </c>
      <c r="D24" s="22">
        <v>0</v>
      </c>
      <c r="E24" s="22">
        <v>0</v>
      </c>
      <c r="F24" s="37"/>
      <c r="G24" s="22">
        <v>0</v>
      </c>
      <c r="H24" s="22">
        <v>0</v>
      </c>
      <c r="I24" s="22">
        <v>0</v>
      </c>
      <c r="J24" s="41"/>
      <c r="K24" s="22">
        <v>0</v>
      </c>
      <c r="L24" s="22">
        <v>0</v>
      </c>
      <c r="M24" s="22">
        <v>0</v>
      </c>
      <c r="N24" s="37">
        <f>M24/$E$29</f>
        <v>0</v>
      </c>
      <c r="O24" s="22">
        <v>0</v>
      </c>
      <c r="P24" s="22">
        <v>0</v>
      </c>
      <c r="Q24" s="22">
        <v>0</v>
      </c>
    </row>
    <row r="25" spans="1:17" ht="12.75">
      <c r="A25" s="28"/>
      <c r="B25" s="28" t="s">
        <v>36</v>
      </c>
      <c r="C25" s="24">
        <v>0</v>
      </c>
      <c r="D25" s="24">
        <v>0</v>
      </c>
      <c r="E25" s="24">
        <v>0</v>
      </c>
      <c r="F25" s="38"/>
      <c r="G25" s="24">
        <f>H25+I25</f>
        <v>0</v>
      </c>
      <c r="H25" s="24">
        <v>0</v>
      </c>
      <c r="I25" s="24">
        <v>0</v>
      </c>
      <c r="J25" s="41"/>
      <c r="K25" s="24">
        <v>0</v>
      </c>
      <c r="L25" s="24">
        <v>0</v>
      </c>
      <c r="M25" s="24">
        <v>0</v>
      </c>
      <c r="N25" s="38">
        <v>0</v>
      </c>
      <c r="O25" s="24">
        <f>P25+Q25</f>
        <v>0</v>
      </c>
      <c r="P25" s="24">
        <v>0</v>
      </c>
      <c r="Q25" s="24">
        <v>0</v>
      </c>
    </row>
    <row r="26" spans="1:17" ht="12.75">
      <c r="A26" s="26" t="s">
        <v>37</v>
      </c>
      <c r="B26" s="26"/>
      <c r="C26" s="22">
        <f>SUM(C27:C28)</f>
        <v>289001</v>
      </c>
      <c r="D26" s="22">
        <f>SUM(D27:D28)</f>
        <v>274400</v>
      </c>
      <c r="E26" s="22">
        <f>SUM(E27:E28)</f>
        <v>217000</v>
      </c>
      <c r="F26" s="37"/>
      <c r="G26" s="22">
        <f>SUM(G27:G28)</f>
        <v>72001</v>
      </c>
      <c r="H26" s="22">
        <f>SUM(H27:H28)</f>
        <v>57400</v>
      </c>
      <c r="I26" s="22">
        <f>SUM(I27:I28)</f>
        <v>14601</v>
      </c>
      <c r="J26" s="41">
        <f t="shared" si="0"/>
        <v>0.7508624537631358</v>
      </c>
      <c r="K26" s="22">
        <f>SUM(K27:K28)</f>
        <v>289333</v>
      </c>
      <c r="L26" s="22">
        <f>SUM(L27:L28)</f>
        <v>274866</v>
      </c>
      <c r="M26" s="22">
        <f>SUM(M27:M28)</f>
        <v>217000</v>
      </c>
      <c r="N26" s="37" t="e">
        <f t="shared" si="1"/>
        <v>#DIV/0!</v>
      </c>
      <c r="O26" s="22">
        <f>SUM(O27:O28)</f>
        <v>72333</v>
      </c>
      <c r="P26" s="22">
        <f>SUM(P27:P28)</f>
        <v>57866</v>
      </c>
      <c r="Q26" s="22">
        <f>SUM(Q27:Q28)</f>
        <v>14467</v>
      </c>
    </row>
    <row r="27" spans="1:17" ht="12.75">
      <c r="A27" s="29"/>
      <c r="B27" s="29" t="s">
        <v>38</v>
      </c>
      <c r="C27" s="24">
        <f>D27+I27</f>
        <v>289001</v>
      </c>
      <c r="D27" s="24">
        <f>E27+H27</f>
        <v>274400</v>
      </c>
      <c r="E27" s="59">
        <f>173600+(77371.38-33971.38)</f>
        <v>217000</v>
      </c>
      <c r="F27" s="38"/>
      <c r="G27" s="24">
        <f>H27+I27</f>
        <v>72001</v>
      </c>
      <c r="H27" s="59">
        <f>46293-373+(20651.51-9171.51)</f>
        <v>57400</v>
      </c>
      <c r="I27" s="59">
        <f>11573+107+(5072.29-2151.29)</f>
        <v>14601</v>
      </c>
      <c r="J27" s="41">
        <f t="shared" si="0"/>
        <v>0.7508624537631358</v>
      </c>
      <c r="K27" s="24">
        <f>L27+Q27</f>
        <v>231466</v>
      </c>
      <c r="L27" s="24">
        <f>M27+P27</f>
        <v>219893</v>
      </c>
      <c r="M27" s="24">
        <v>173600</v>
      </c>
      <c r="N27" s="38" t="e">
        <f t="shared" si="1"/>
        <v>#DIV/0!</v>
      </c>
      <c r="O27" s="24">
        <f>P27+Q27</f>
        <v>57866</v>
      </c>
      <c r="P27" s="24">
        <v>46293</v>
      </c>
      <c r="Q27" s="24">
        <v>11573</v>
      </c>
    </row>
    <row r="28" spans="1:17" ht="13.5" thickBot="1">
      <c r="A28" s="30"/>
      <c r="B28" s="30" t="s">
        <v>39</v>
      </c>
      <c r="C28" s="24">
        <f>D28+I28</f>
        <v>0</v>
      </c>
      <c r="D28" s="24">
        <f>E28+H28</f>
        <v>0</v>
      </c>
      <c r="E28" s="68">
        <f>43400-(77371.38-33971.38)</f>
        <v>0</v>
      </c>
      <c r="F28" s="38"/>
      <c r="G28" s="24">
        <f>H28+I28</f>
        <v>0</v>
      </c>
      <c r="H28" s="64">
        <f>11573-93-(20651.51-9171.51)</f>
        <v>0</v>
      </c>
      <c r="I28" s="64">
        <f>2894+27-(5072.29-2151.29)</f>
        <v>0</v>
      </c>
      <c r="J28" s="41" t="e">
        <f t="shared" si="0"/>
        <v>#DIV/0!</v>
      </c>
      <c r="K28" s="24">
        <f>L28+Q28</f>
        <v>57867</v>
      </c>
      <c r="L28" s="24">
        <f>M28+P28</f>
        <v>54973</v>
      </c>
      <c r="M28" s="24">
        <v>43400</v>
      </c>
      <c r="N28" s="38" t="e">
        <f t="shared" si="1"/>
        <v>#DIV/0!</v>
      </c>
      <c r="O28" s="24">
        <f>P28+Q28</f>
        <v>14467</v>
      </c>
      <c r="P28" s="24">
        <v>11573</v>
      </c>
      <c r="Q28" s="24">
        <v>2894</v>
      </c>
    </row>
    <row r="29" spans="1:17" ht="12.75">
      <c r="A29" s="26" t="s">
        <v>40</v>
      </c>
      <c r="B29" s="26"/>
      <c r="C29" s="39">
        <f>C7+C11+C14+C17+C20+C26</f>
        <v>4127998</v>
      </c>
      <c r="D29" s="39">
        <f>D7+D11+D14+D17+D20+D26</f>
        <v>3919240</v>
      </c>
      <c r="E29" s="39">
        <f>E7+E11+E14+E17+E20+E26</f>
        <v>3096213</v>
      </c>
      <c r="F29" s="40"/>
      <c r="G29" s="39">
        <f>G7+G11+G14+G17+G20+G26</f>
        <v>1031785</v>
      </c>
      <c r="H29" s="39">
        <f>H7+H11+H14+H17+H20+H26</f>
        <v>823027</v>
      </c>
      <c r="I29" s="39">
        <f>I7+I11+I14+I17+I20+I26</f>
        <v>208758</v>
      </c>
      <c r="J29" s="41">
        <f t="shared" si="0"/>
        <v>0.7500519622344778</v>
      </c>
      <c r="K29" s="39">
        <f>K7+K11+K14+K17+K20+K26</f>
        <v>4128284</v>
      </c>
      <c r="L29" s="39">
        <f>L7+L11+L14+L17+L20+L26</f>
        <v>3921870</v>
      </c>
      <c r="M29" s="39">
        <f>M7+M11+M14+M17+M20+M26</f>
        <v>3096213</v>
      </c>
      <c r="N29" s="40" t="e">
        <f t="shared" si="1"/>
        <v>#DIV/0!</v>
      </c>
      <c r="O29" s="39">
        <f>O7+O11+O14+O17+O20+O26</f>
        <v>1032071</v>
      </c>
      <c r="P29" s="39">
        <f>P7+P11+P14+P17+P20+P26</f>
        <v>825657</v>
      </c>
      <c r="Q29" s="39">
        <f>Q7+Q11+Q14+Q17+Q20+Q26</f>
        <v>206414</v>
      </c>
    </row>
    <row r="30" spans="1:9" ht="13.5" thickBot="1">
      <c r="A30" s="32"/>
      <c r="B30" s="32"/>
      <c r="C30" s="33"/>
      <c r="D30" s="33"/>
      <c r="E30" s="33"/>
      <c r="F30" s="33"/>
      <c r="G30" s="33"/>
      <c r="H30" s="33"/>
      <c r="I30" s="33"/>
    </row>
    <row r="31" spans="2:9" ht="21" customHeight="1">
      <c r="B31" s="77" t="s">
        <v>41</v>
      </c>
      <c r="C31" s="77"/>
      <c r="D31" s="77"/>
      <c r="E31" s="77"/>
      <c r="F31" s="77"/>
      <c r="G31" s="77"/>
      <c r="H31" s="77"/>
      <c r="I31" s="77"/>
    </row>
  </sheetData>
  <mergeCells count="2">
    <mergeCell ref="A3:I3"/>
    <mergeCell ref="B31:I31"/>
  </mergeCells>
  <printOptions/>
  <pageMargins left="0.75" right="0.75" top="1" bottom="1" header="0.4921259845" footer="0.4921259845"/>
  <pageSetup horizontalDpi="600" verticalDpi="600" orientation="landscape" paperSize="9" scale="65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2.7109375" style="0" customWidth="1"/>
    <col min="2" max="2" width="43.421875" style="0" customWidth="1"/>
    <col min="3" max="5" width="11.00390625" style="0" customWidth="1"/>
    <col min="6" max="6" width="7.421875" style="0" customWidth="1"/>
    <col min="7" max="16384" width="11.00390625" style="0" customWidth="1"/>
  </cols>
  <sheetData>
    <row r="1" spans="1:9" ht="15">
      <c r="A1" s="1" t="s">
        <v>51</v>
      </c>
      <c r="B1" s="2"/>
      <c r="C1" s="3"/>
      <c r="D1" s="3"/>
      <c r="E1" s="3"/>
      <c r="F1" s="3"/>
      <c r="G1" s="3"/>
      <c r="H1" s="3"/>
      <c r="I1" s="3"/>
    </row>
    <row r="2" spans="1:9" ht="30.75">
      <c r="A2" s="4" t="s">
        <v>45</v>
      </c>
      <c r="B2" s="2"/>
      <c r="C2" s="5"/>
      <c r="D2" s="5"/>
      <c r="E2" s="5"/>
      <c r="F2" s="5"/>
      <c r="G2" s="5"/>
      <c r="H2" s="5"/>
      <c r="I2" s="5"/>
    </row>
    <row r="3" spans="1:9" ht="13.5" thickBot="1">
      <c r="A3" s="82" t="s">
        <v>46</v>
      </c>
      <c r="B3" s="82"/>
      <c r="C3" s="82"/>
      <c r="D3" s="82"/>
      <c r="E3" s="82"/>
      <c r="F3" s="82"/>
      <c r="G3" s="82"/>
      <c r="H3" s="82"/>
      <c r="I3" s="82"/>
    </row>
    <row r="4" spans="1:9" ht="21.75">
      <c r="A4" s="6"/>
      <c r="B4" s="6"/>
      <c r="C4" s="7"/>
      <c r="D4" s="7" t="s">
        <v>3</v>
      </c>
      <c r="E4" s="8" t="s">
        <v>4</v>
      </c>
      <c r="F4" s="8"/>
      <c r="G4" s="9" t="s">
        <v>0</v>
      </c>
      <c r="H4" s="9" t="s">
        <v>5</v>
      </c>
      <c r="I4" s="7" t="s">
        <v>1</v>
      </c>
    </row>
    <row r="5" spans="1:9" ht="12.75">
      <c r="A5" s="10"/>
      <c r="B5" s="11"/>
      <c r="C5" s="12" t="s">
        <v>6</v>
      </c>
      <c r="D5" s="13" t="s">
        <v>7</v>
      </c>
      <c r="E5" s="14" t="s">
        <v>8</v>
      </c>
      <c r="F5" s="14" t="s">
        <v>9</v>
      </c>
      <c r="G5" s="13" t="s">
        <v>7</v>
      </c>
      <c r="H5" s="13" t="s">
        <v>10</v>
      </c>
      <c r="I5" s="13" t="s">
        <v>2</v>
      </c>
    </row>
    <row r="6" spans="1:9" ht="12.75">
      <c r="A6" s="15"/>
      <c r="B6" s="15"/>
      <c r="C6" s="16" t="s">
        <v>11</v>
      </c>
      <c r="D6" s="17" t="s">
        <v>12</v>
      </c>
      <c r="E6" s="18" t="s">
        <v>13</v>
      </c>
      <c r="F6" s="18"/>
      <c r="G6" s="17" t="s">
        <v>14</v>
      </c>
      <c r="H6" s="17" t="s">
        <v>15</v>
      </c>
      <c r="I6" s="19" t="s">
        <v>16</v>
      </c>
    </row>
    <row r="7" spans="1:17" ht="12.75">
      <c r="A7" s="20" t="s">
        <v>17</v>
      </c>
      <c r="B7" s="21"/>
      <c r="C7" s="22">
        <f>SUM(C8:C10)</f>
        <v>1076868</v>
      </c>
      <c r="D7" s="22">
        <f>SUM(D8:D10)</f>
        <v>1023025</v>
      </c>
      <c r="E7" s="22">
        <f>SUM(E8:E10)</f>
        <v>807651</v>
      </c>
      <c r="F7" s="37"/>
      <c r="G7" s="22">
        <f>SUM(G8:G10)</f>
        <v>269217</v>
      </c>
      <c r="H7" s="22">
        <f>SUM(H8:H10)</f>
        <v>215374</v>
      </c>
      <c r="I7" s="22">
        <f>SUM(I8:I10)</f>
        <v>53843</v>
      </c>
      <c r="J7" s="41">
        <f>E7/C7</f>
        <v>0.75</v>
      </c>
      <c r="K7" s="22">
        <f>SUM(K8:K10)</f>
        <v>1076868</v>
      </c>
      <c r="L7" s="22">
        <f>SUM(L8:L10)</f>
        <v>1023025</v>
      </c>
      <c r="M7" s="22">
        <f>SUM(M8:M10)</f>
        <v>807651</v>
      </c>
      <c r="N7" s="37" t="e">
        <f>M7/$E$96</f>
        <v>#DIV/0!</v>
      </c>
      <c r="O7" s="22">
        <f>SUM(O8:O10)</f>
        <v>269217</v>
      </c>
      <c r="P7" s="22">
        <f>SUM(P8:P10)</f>
        <v>215374</v>
      </c>
      <c r="Q7" s="22">
        <f>SUM(Q8:Q10)</f>
        <v>53843</v>
      </c>
    </row>
    <row r="8" spans="1:17" ht="18.75">
      <c r="A8" s="23"/>
      <c r="B8" s="23" t="s">
        <v>18</v>
      </c>
      <c r="C8" s="24">
        <f>D8+I8</f>
        <v>358656</v>
      </c>
      <c r="D8" s="24">
        <f>E8+H8</f>
        <v>340723</v>
      </c>
      <c r="E8" s="24">
        <v>268992</v>
      </c>
      <c r="F8" s="38"/>
      <c r="G8" s="24">
        <f>H8+I8</f>
        <v>89664</v>
      </c>
      <c r="H8" s="24">
        <v>71731</v>
      </c>
      <c r="I8" s="24">
        <v>17933</v>
      </c>
      <c r="J8" s="41">
        <f aca="true" t="shared" si="0" ref="J8:J29">E8/C8</f>
        <v>0.75</v>
      </c>
      <c r="K8" s="24">
        <f>L8+Q8</f>
        <v>358656</v>
      </c>
      <c r="L8" s="24">
        <f>M8+P8</f>
        <v>340723</v>
      </c>
      <c r="M8" s="24">
        <v>268992</v>
      </c>
      <c r="N8" s="38" t="e">
        <f aca="true" t="shared" si="1" ref="N8:N29">M8/$E$96</f>
        <v>#DIV/0!</v>
      </c>
      <c r="O8" s="24">
        <f>P8+Q8</f>
        <v>89664</v>
      </c>
      <c r="P8" s="24">
        <v>71731</v>
      </c>
      <c r="Q8" s="24">
        <v>17933</v>
      </c>
    </row>
    <row r="9" spans="1:17" ht="18.75">
      <c r="A9" s="23"/>
      <c r="B9" s="23" t="s">
        <v>19</v>
      </c>
      <c r="C9" s="24">
        <f>D9+I9</f>
        <v>359664</v>
      </c>
      <c r="D9" s="24">
        <f>E9+H9</f>
        <v>341681</v>
      </c>
      <c r="E9" s="24">
        <v>269748</v>
      </c>
      <c r="F9" s="38"/>
      <c r="G9" s="24">
        <f>H9+I9</f>
        <v>89916</v>
      </c>
      <c r="H9" s="24">
        <v>71933</v>
      </c>
      <c r="I9" s="24">
        <v>17983</v>
      </c>
      <c r="J9" s="41">
        <f t="shared" si="0"/>
        <v>0.75</v>
      </c>
      <c r="K9" s="24">
        <f>L9+Q9</f>
        <v>359664</v>
      </c>
      <c r="L9" s="24">
        <f>M9+P9</f>
        <v>341681</v>
      </c>
      <c r="M9" s="24">
        <v>269748</v>
      </c>
      <c r="N9" s="38" t="e">
        <f t="shared" si="1"/>
        <v>#DIV/0!</v>
      </c>
      <c r="O9" s="24">
        <f>P9+Q9</f>
        <v>89916</v>
      </c>
      <c r="P9" s="24">
        <v>71933</v>
      </c>
      <c r="Q9" s="24">
        <v>17983</v>
      </c>
    </row>
    <row r="10" spans="1:17" ht="12.75">
      <c r="A10" s="25"/>
      <c r="B10" s="23" t="s">
        <v>20</v>
      </c>
      <c r="C10" s="24">
        <f>D10+I10</f>
        <v>358548</v>
      </c>
      <c r="D10" s="24">
        <f>E10+H10</f>
        <v>340621</v>
      </c>
      <c r="E10" s="24">
        <v>268911</v>
      </c>
      <c r="F10" s="38"/>
      <c r="G10" s="24">
        <f>H10+I10</f>
        <v>89637</v>
      </c>
      <c r="H10" s="24">
        <v>71710</v>
      </c>
      <c r="I10" s="24">
        <v>17927</v>
      </c>
      <c r="J10" s="41">
        <f t="shared" si="0"/>
        <v>0.75</v>
      </c>
      <c r="K10" s="24">
        <f>L10+Q10</f>
        <v>358548</v>
      </c>
      <c r="L10" s="24">
        <f>M10+P10</f>
        <v>340621</v>
      </c>
      <c r="M10" s="24">
        <v>268911</v>
      </c>
      <c r="N10" s="38" t="e">
        <f t="shared" si="1"/>
        <v>#DIV/0!</v>
      </c>
      <c r="O10" s="24">
        <f>P10+Q10</f>
        <v>89637</v>
      </c>
      <c r="P10" s="24">
        <v>71710</v>
      </c>
      <c r="Q10" s="24">
        <v>17927</v>
      </c>
    </row>
    <row r="11" spans="1:17" ht="12.75">
      <c r="A11" s="26" t="s">
        <v>21</v>
      </c>
      <c r="B11" s="26"/>
      <c r="C11" s="22">
        <f>SUM(C12:C13)</f>
        <v>748147</v>
      </c>
      <c r="D11" s="22">
        <f>SUM(D12:D13)</f>
        <v>710740</v>
      </c>
      <c r="E11" s="22">
        <f>SUM(E12:E13)</f>
        <v>561110</v>
      </c>
      <c r="F11" s="37"/>
      <c r="G11" s="22">
        <f>SUM(G12:G13)</f>
        <v>187037</v>
      </c>
      <c r="H11" s="22">
        <f>SUM(H12:H13)</f>
        <v>149630</v>
      </c>
      <c r="I11" s="22">
        <f>SUM(I12:I13)</f>
        <v>37407</v>
      </c>
      <c r="J11" s="41">
        <f t="shared" si="0"/>
        <v>0.7499996658410714</v>
      </c>
      <c r="K11" s="22">
        <f>SUM(K12:K13)</f>
        <v>1077333</v>
      </c>
      <c r="L11" s="22">
        <f>SUM(L12:L13)</f>
        <v>1023467</v>
      </c>
      <c r="M11" s="22">
        <f>SUM(M12:M13)</f>
        <v>808000</v>
      </c>
      <c r="N11" s="37" t="e">
        <f t="shared" si="1"/>
        <v>#DIV/0!</v>
      </c>
      <c r="O11" s="22">
        <f>SUM(O12:O13)</f>
        <v>269333</v>
      </c>
      <c r="P11" s="22">
        <f>SUM(P12:P13)</f>
        <v>215467</v>
      </c>
      <c r="Q11" s="22">
        <f>SUM(Q12:Q13)</f>
        <v>53866</v>
      </c>
    </row>
    <row r="12" spans="1:17" ht="18.75">
      <c r="A12" s="23"/>
      <c r="B12" s="23" t="s">
        <v>22</v>
      </c>
      <c r="C12" s="24">
        <f>D12+I12</f>
        <v>299062</v>
      </c>
      <c r="D12" s="24">
        <f>E12+H12</f>
        <v>284109</v>
      </c>
      <c r="E12" s="59">
        <f>471186-246890</f>
        <v>224296</v>
      </c>
      <c r="F12" s="38"/>
      <c r="G12" s="24">
        <f>H12+I12</f>
        <v>74766</v>
      </c>
      <c r="H12" s="59">
        <f>125650-65837</f>
        <v>59813</v>
      </c>
      <c r="I12" s="59">
        <f>31412-16459</f>
        <v>14953</v>
      </c>
      <c r="J12" s="41">
        <f t="shared" si="0"/>
        <v>0.7499983281058777</v>
      </c>
      <c r="K12" s="24">
        <f>L12+Q12</f>
        <v>628248</v>
      </c>
      <c r="L12" s="24">
        <f>M12+P12</f>
        <v>596836</v>
      </c>
      <c r="M12" s="24">
        <v>471186</v>
      </c>
      <c r="N12" s="38" t="e">
        <f t="shared" si="1"/>
        <v>#DIV/0!</v>
      </c>
      <c r="O12" s="24">
        <f>P12+Q12</f>
        <v>157062</v>
      </c>
      <c r="P12" s="24">
        <v>125650</v>
      </c>
      <c r="Q12" s="24">
        <v>31412</v>
      </c>
    </row>
    <row r="13" spans="1:17" ht="12.75">
      <c r="A13" s="23"/>
      <c r="B13" s="23" t="s">
        <v>23</v>
      </c>
      <c r="C13" s="24">
        <f>D13+I13</f>
        <v>449085</v>
      </c>
      <c r="D13" s="24">
        <f>E13+H13</f>
        <v>426631</v>
      </c>
      <c r="E13" s="24">
        <v>336814</v>
      </c>
      <c r="F13" s="38"/>
      <c r="G13" s="24">
        <f>H13+I13</f>
        <v>112271</v>
      </c>
      <c r="H13" s="24">
        <v>89817</v>
      </c>
      <c r="I13" s="24">
        <v>22454</v>
      </c>
      <c r="J13" s="41">
        <f t="shared" si="0"/>
        <v>0.7500005566874868</v>
      </c>
      <c r="K13" s="24">
        <f>L13+Q13</f>
        <v>449085</v>
      </c>
      <c r="L13" s="24">
        <f>M13+P13</f>
        <v>426631</v>
      </c>
      <c r="M13" s="24">
        <v>336814</v>
      </c>
      <c r="N13" s="38" t="e">
        <f t="shared" si="1"/>
        <v>#DIV/0!</v>
      </c>
      <c r="O13" s="24">
        <f>P13+Q13</f>
        <v>112271</v>
      </c>
      <c r="P13" s="24">
        <v>89817</v>
      </c>
      <c r="Q13" s="24">
        <v>22454</v>
      </c>
    </row>
    <row r="14" spans="1:17" ht="12.75">
      <c r="A14" s="26" t="s">
        <v>24</v>
      </c>
      <c r="B14" s="26"/>
      <c r="C14" s="22">
        <f>SUM(C15:C16)</f>
        <v>674666</v>
      </c>
      <c r="D14" s="22">
        <f>SUM(D15:D16)</f>
        <v>640933</v>
      </c>
      <c r="E14" s="22">
        <f>SUM(E15:E16)</f>
        <v>506000</v>
      </c>
      <c r="F14" s="37"/>
      <c r="G14" s="22">
        <f>SUM(G15:G16)</f>
        <v>168666</v>
      </c>
      <c r="H14" s="22">
        <f>SUM(H15:H16)</f>
        <v>134933</v>
      </c>
      <c r="I14" s="22">
        <f>SUM(I15:I16)</f>
        <v>33733</v>
      </c>
      <c r="J14" s="41">
        <f t="shared" si="0"/>
        <v>0.7500007411074517</v>
      </c>
      <c r="K14" s="22">
        <f>SUM(K15:K16)</f>
        <v>674666</v>
      </c>
      <c r="L14" s="22">
        <f>SUM(L15:L16)</f>
        <v>640933</v>
      </c>
      <c r="M14" s="22">
        <f>SUM(M15:M16)</f>
        <v>506000</v>
      </c>
      <c r="N14" s="37" t="e">
        <f t="shared" si="1"/>
        <v>#DIV/0!</v>
      </c>
      <c r="O14" s="22">
        <f>SUM(O15:O16)</f>
        <v>168666</v>
      </c>
      <c r="P14" s="22">
        <f>SUM(P15:P16)</f>
        <v>134933</v>
      </c>
      <c r="Q14" s="22">
        <f>SUM(Q15:Q16)</f>
        <v>33733</v>
      </c>
    </row>
    <row r="15" spans="1:17" ht="18.75">
      <c r="A15" s="23"/>
      <c r="B15" s="23" t="s">
        <v>25</v>
      </c>
      <c r="C15" s="24">
        <f>D15+I15</f>
        <v>270340</v>
      </c>
      <c r="D15" s="24">
        <f>E15+H15</f>
        <v>256823</v>
      </c>
      <c r="E15" s="24">
        <v>202755</v>
      </c>
      <c r="F15" s="38"/>
      <c r="G15" s="24">
        <f>H15+I15</f>
        <v>67585</v>
      </c>
      <c r="H15" s="24">
        <v>54068</v>
      </c>
      <c r="I15" s="24">
        <v>13517</v>
      </c>
      <c r="J15" s="41">
        <f t="shared" si="0"/>
        <v>0.75</v>
      </c>
      <c r="K15" s="24">
        <f>L15+Q15</f>
        <v>270340</v>
      </c>
      <c r="L15" s="24">
        <f>M15+P15</f>
        <v>256823</v>
      </c>
      <c r="M15" s="24">
        <v>202755</v>
      </c>
      <c r="N15" s="38" t="e">
        <f t="shared" si="1"/>
        <v>#DIV/0!</v>
      </c>
      <c r="O15" s="24">
        <f>P15+Q15</f>
        <v>67585</v>
      </c>
      <c r="P15" s="24">
        <v>54068</v>
      </c>
      <c r="Q15" s="24">
        <v>13517</v>
      </c>
    </row>
    <row r="16" spans="1:17" ht="12.75">
      <c r="A16" s="25"/>
      <c r="B16" s="25" t="s">
        <v>26</v>
      </c>
      <c r="C16" s="24">
        <f>D16+I16</f>
        <v>404326</v>
      </c>
      <c r="D16" s="24">
        <f>E16+H16</f>
        <v>384110</v>
      </c>
      <c r="E16" s="24">
        <v>303245</v>
      </c>
      <c r="F16" s="38"/>
      <c r="G16" s="24">
        <f>H16+I16</f>
        <v>101081</v>
      </c>
      <c r="H16" s="24">
        <v>80865</v>
      </c>
      <c r="I16" s="24">
        <v>20216</v>
      </c>
      <c r="J16" s="41">
        <f t="shared" si="0"/>
        <v>0.750001236625891</v>
      </c>
      <c r="K16" s="24">
        <f>L16+Q16</f>
        <v>404326</v>
      </c>
      <c r="L16" s="24">
        <f>M16+P16</f>
        <v>384110</v>
      </c>
      <c r="M16" s="24">
        <v>303245</v>
      </c>
      <c r="N16" s="38" t="e">
        <f t="shared" si="1"/>
        <v>#DIV/0!</v>
      </c>
      <c r="O16" s="24">
        <f>P16+Q16</f>
        <v>101081</v>
      </c>
      <c r="P16" s="24">
        <v>80865</v>
      </c>
      <c r="Q16" s="24">
        <v>20216</v>
      </c>
    </row>
    <row r="17" spans="1:17" ht="12.75">
      <c r="A17" s="26" t="s">
        <v>27</v>
      </c>
      <c r="B17" s="26"/>
      <c r="C17" s="22">
        <f>SUM(C18:C19)</f>
        <v>778519</v>
      </c>
      <c r="D17" s="22">
        <f>SUM(D18:D19)</f>
        <v>739594</v>
      </c>
      <c r="E17" s="22">
        <f>SUM(E18:E19)</f>
        <v>583890</v>
      </c>
      <c r="F17" s="37"/>
      <c r="G17" s="22">
        <f>SUM(G18:G19)</f>
        <v>194629</v>
      </c>
      <c r="H17" s="22">
        <f>SUM(H18:H19)</f>
        <v>155704</v>
      </c>
      <c r="I17" s="22">
        <f>SUM(I18:I19)</f>
        <v>38925</v>
      </c>
      <c r="J17" s="41">
        <f t="shared" si="0"/>
        <v>0.7500009633676249</v>
      </c>
      <c r="K17" s="22">
        <f>SUM(K18:K19)</f>
        <v>449333</v>
      </c>
      <c r="L17" s="22">
        <f>SUM(L18:L19)</f>
        <v>426867</v>
      </c>
      <c r="M17" s="22">
        <f>SUM(M18:M19)</f>
        <v>337000</v>
      </c>
      <c r="N17" s="37" t="e">
        <f t="shared" si="1"/>
        <v>#DIV/0!</v>
      </c>
      <c r="O17" s="22">
        <f>SUM(O18:O19)</f>
        <v>112333</v>
      </c>
      <c r="P17" s="22">
        <f>SUM(P18:P19)</f>
        <v>89867</v>
      </c>
      <c r="Q17" s="22">
        <f>SUM(Q18:Q19)</f>
        <v>22466</v>
      </c>
    </row>
    <row r="18" spans="1:17" ht="18.75">
      <c r="A18" s="23"/>
      <c r="B18" s="23" t="s">
        <v>28</v>
      </c>
      <c r="C18" s="24">
        <f>D18+I18</f>
        <v>134989</v>
      </c>
      <c r="D18" s="24">
        <f>E18+H18</f>
        <v>128240</v>
      </c>
      <c r="E18" s="24">
        <v>101242</v>
      </c>
      <c r="F18" s="38"/>
      <c r="G18" s="24">
        <f>H18+I18</f>
        <v>33747</v>
      </c>
      <c r="H18" s="24">
        <v>26998</v>
      </c>
      <c r="I18" s="24">
        <v>6749</v>
      </c>
      <c r="J18" s="41">
        <f t="shared" si="0"/>
        <v>0.7500018520027558</v>
      </c>
      <c r="K18" s="24">
        <f>L18+Q18</f>
        <v>134989</v>
      </c>
      <c r="L18" s="24">
        <f>M18+P18</f>
        <v>128240</v>
      </c>
      <c r="M18" s="24">
        <v>101242</v>
      </c>
      <c r="N18" s="38" t="e">
        <f t="shared" si="1"/>
        <v>#DIV/0!</v>
      </c>
      <c r="O18" s="24">
        <f>P18+Q18</f>
        <v>33747</v>
      </c>
      <c r="P18" s="24">
        <v>26998</v>
      </c>
      <c r="Q18" s="24">
        <v>6749</v>
      </c>
    </row>
    <row r="19" spans="1:17" ht="18.75">
      <c r="A19" s="23"/>
      <c r="B19" s="23" t="s">
        <v>29</v>
      </c>
      <c r="C19" s="24">
        <f>D19+I19</f>
        <v>643530</v>
      </c>
      <c r="D19" s="24">
        <f>E19+H19</f>
        <v>611354</v>
      </c>
      <c r="E19" s="59">
        <f>235758+246890</f>
        <v>482648</v>
      </c>
      <c r="F19" s="38"/>
      <c r="G19" s="24">
        <f>H19+I19</f>
        <v>160882</v>
      </c>
      <c r="H19" s="59">
        <f>62869+65837</f>
        <v>128706</v>
      </c>
      <c r="I19" s="59">
        <f>15717+16459</f>
        <v>32176</v>
      </c>
      <c r="J19" s="41">
        <f t="shared" si="0"/>
        <v>0.7500007769645549</v>
      </c>
      <c r="K19" s="24">
        <f>L19+Q19</f>
        <v>314344</v>
      </c>
      <c r="L19" s="24">
        <f>M19+P19</f>
        <v>298627</v>
      </c>
      <c r="M19" s="24">
        <v>235758</v>
      </c>
      <c r="N19" s="38" t="e">
        <f t="shared" si="1"/>
        <v>#DIV/0!</v>
      </c>
      <c r="O19" s="24">
        <f>P19+Q19</f>
        <v>78586</v>
      </c>
      <c r="P19" s="24">
        <v>62869</v>
      </c>
      <c r="Q19" s="24">
        <v>15717</v>
      </c>
    </row>
    <row r="20" spans="1:17" ht="12.75">
      <c r="A20" s="26" t="s">
        <v>30</v>
      </c>
      <c r="B20" s="26"/>
      <c r="C20" s="22">
        <f>SUM(C21:C23)</f>
        <v>898667</v>
      </c>
      <c r="D20" s="22">
        <f>SUM(D21:D23)</f>
        <v>853734</v>
      </c>
      <c r="E20" s="22">
        <f>SUM(E21:E23)</f>
        <v>674000</v>
      </c>
      <c r="F20" s="37"/>
      <c r="G20" s="22">
        <f>SUM(G21:G23)</f>
        <v>224667</v>
      </c>
      <c r="H20" s="22">
        <f>SUM(H21:H23)</f>
        <v>179734</v>
      </c>
      <c r="I20" s="22">
        <f>SUM(I21:I23)</f>
        <v>44933</v>
      </c>
      <c r="J20" s="41">
        <f t="shared" si="0"/>
        <v>0.7499997218101923</v>
      </c>
      <c r="K20" s="22">
        <f>SUM(K21:K23)</f>
        <v>898667</v>
      </c>
      <c r="L20" s="22">
        <f>SUM(L21:L23)</f>
        <v>853734</v>
      </c>
      <c r="M20" s="22">
        <f>SUM(M21:M23)</f>
        <v>674000</v>
      </c>
      <c r="N20" s="37" t="e">
        <f t="shared" si="1"/>
        <v>#DIV/0!</v>
      </c>
      <c r="O20" s="22">
        <f>SUM(O21:O23)</f>
        <v>224667</v>
      </c>
      <c r="P20" s="22">
        <f>SUM(P21:P23)</f>
        <v>179734</v>
      </c>
      <c r="Q20" s="22">
        <f>SUM(Q21:Q23)</f>
        <v>44933</v>
      </c>
    </row>
    <row r="21" spans="1:17" ht="18.75">
      <c r="A21" s="23"/>
      <c r="B21" s="23" t="s">
        <v>31</v>
      </c>
      <c r="C21" s="24">
        <f>D21+I21</f>
        <v>360129</v>
      </c>
      <c r="D21" s="24">
        <f>E21+H21</f>
        <v>342123</v>
      </c>
      <c r="E21" s="24">
        <v>270097</v>
      </c>
      <c r="F21" s="38"/>
      <c r="G21" s="24">
        <f>H21+I21</f>
        <v>90032</v>
      </c>
      <c r="H21" s="24">
        <v>72026</v>
      </c>
      <c r="I21" s="24">
        <v>18006</v>
      </c>
      <c r="J21" s="41">
        <f t="shared" si="0"/>
        <v>0.750000694195691</v>
      </c>
      <c r="K21" s="24">
        <f>L21+Q21</f>
        <v>360129</v>
      </c>
      <c r="L21" s="24">
        <f>M21+P21</f>
        <v>342123</v>
      </c>
      <c r="M21" s="24">
        <v>270097</v>
      </c>
      <c r="N21" s="38" t="e">
        <f t="shared" si="1"/>
        <v>#DIV/0!</v>
      </c>
      <c r="O21" s="24">
        <f>P21+Q21</f>
        <v>90032</v>
      </c>
      <c r="P21" s="24">
        <v>72026</v>
      </c>
      <c r="Q21" s="24">
        <v>18006</v>
      </c>
    </row>
    <row r="22" spans="1:17" ht="18.75">
      <c r="A22" s="23"/>
      <c r="B22" s="23" t="s">
        <v>32</v>
      </c>
      <c r="C22" s="24">
        <f>D22+I22</f>
        <v>314699</v>
      </c>
      <c r="D22" s="24">
        <f>E22+H22</f>
        <v>298964</v>
      </c>
      <c r="E22" s="24">
        <v>236024</v>
      </c>
      <c r="F22" s="38"/>
      <c r="G22" s="24">
        <f>H22+I22</f>
        <v>78675</v>
      </c>
      <c r="H22" s="24">
        <v>62940</v>
      </c>
      <c r="I22" s="24">
        <v>15735</v>
      </c>
      <c r="J22" s="41">
        <f t="shared" si="0"/>
        <v>0.7499992055901036</v>
      </c>
      <c r="K22" s="24">
        <f>L22+Q22</f>
        <v>314699</v>
      </c>
      <c r="L22" s="24">
        <f>M22+P22</f>
        <v>298964</v>
      </c>
      <c r="M22" s="24">
        <v>236024</v>
      </c>
      <c r="N22" s="38" t="e">
        <f t="shared" si="1"/>
        <v>#DIV/0!</v>
      </c>
      <c r="O22" s="24">
        <f>P22+Q22</f>
        <v>78675</v>
      </c>
      <c r="P22" s="24">
        <v>62940</v>
      </c>
      <c r="Q22" s="24">
        <v>15735</v>
      </c>
    </row>
    <row r="23" spans="1:17" ht="12.75">
      <c r="A23" s="23"/>
      <c r="B23" s="23" t="s">
        <v>33</v>
      </c>
      <c r="C23" s="24">
        <f>D23+I23</f>
        <v>223839</v>
      </c>
      <c r="D23" s="24">
        <f>E23+H23</f>
        <v>212647</v>
      </c>
      <c r="E23" s="24">
        <v>167879</v>
      </c>
      <c r="F23" s="38"/>
      <c r="G23" s="24">
        <f>H23+I23</f>
        <v>55960</v>
      </c>
      <c r="H23" s="24">
        <v>44768</v>
      </c>
      <c r="I23" s="24">
        <v>11192</v>
      </c>
      <c r="J23" s="41">
        <f t="shared" si="0"/>
        <v>0.7499988831258181</v>
      </c>
      <c r="K23" s="24">
        <f>L23+Q23</f>
        <v>223839</v>
      </c>
      <c r="L23" s="24">
        <f>M23+P23</f>
        <v>212647</v>
      </c>
      <c r="M23" s="24">
        <v>167879</v>
      </c>
      <c r="N23" s="38" t="e">
        <f t="shared" si="1"/>
        <v>#DIV/0!</v>
      </c>
      <c r="O23" s="24">
        <f>P23+Q23</f>
        <v>55960</v>
      </c>
      <c r="P23" s="24">
        <v>44768</v>
      </c>
      <c r="Q23" s="24">
        <v>11192</v>
      </c>
    </row>
    <row r="24" spans="1:17" ht="12.75">
      <c r="A24" s="27" t="s">
        <v>34</v>
      </c>
      <c r="B24" s="27" t="s">
        <v>35</v>
      </c>
      <c r="C24" s="22">
        <v>0</v>
      </c>
      <c r="D24" s="22">
        <v>0</v>
      </c>
      <c r="E24" s="22">
        <v>0</v>
      </c>
      <c r="F24" s="37"/>
      <c r="G24" s="22">
        <v>0</v>
      </c>
      <c r="H24" s="22">
        <v>0</v>
      </c>
      <c r="I24" s="22">
        <v>0</v>
      </c>
      <c r="J24" s="41"/>
      <c r="K24" s="22">
        <v>0</v>
      </c>
      <c r="L24" s="22">
        <v>0</v>
      </c>
      <c r="M24" s="22">
        <v>0</v>
      </c>
      <c r="N24" s="37">
        <f>M24/$E$29</f>
        <v>0</v>
      </c>
      <c r="O24" s="22">
        <v>0</v>
      </c>
      <c r="P24" s="22">
        <v>0</v>
      </c>
      <c r="Q24" s="22">
        <v>0</v>
      </c>
    </row>
    <row r="25" spans="1:17" ht="12.75">
      <c r="A25" s="28"/>
      <c r="B25" s="28" t="s">
        <v>36</v>
      </c>
      <c r="C25" s="24">
        <v>0</v>
      </c>
      <c r="D25" s="24">
        <v>0</v>
      </c>
      <c r="E25" s="24">
        <v>0</v>
      </c>
      <c r="F25" s="38"/>
      <c r="G25" s="24">
        <f>H25+I25</f>
        <v>0</v>
      </c>
      <c r="H25" s="24">
        <v>0</v>
      </c>
      <c r="I25" s="24">
        <v>0</v>
      </c>
      <c r="J25" s="41"/>
      <c r="K25" s="24">
        <v>0</v>
      </c>
      <c r="L25" s="24">
        <v>0</v>
      </c>
      <c r="M25" s="24">
        <v>0</v>
      </c>
      <c r="N25" s="38">
        <v>0</v>
      </c>
      <c r="O25" s="24">
        <f>P25+Q25</f>
        <v>0</v>
      </c>
      <c r="P25" s="24">
        <v>0</v>
      </c>
      <c r="Q25" s="24">
        <v>0</v>
      </c>
    </row>
    <row r="26" spans="1:17" ht="12.75">
      <c r="A26" s="26" t="s">
        <v>37</v>
      </c>
      <c r="B26" s="26"/>
      <c r="C26" s="22">
        <f>SUM(C27:C28)</f>
        <v>314668</v>
      </c>
      <c r="D26" s="22">
        <f>SUM(D27:D28)</f>
        <v>298934</v>
      </c>
      <c r="E26" s="22">
        <f>SUM(E27:E28)</f>
        <v>236000</v>
      </c>
      <c r="F26" s="37"/>
      <c r="G26" s="22">
        <f>SUM(G27:G28)</f>
        <v>78668</v>
      </c>
      <c r="H26" s="22">
        <f>SUM(H27:H28)</f>
        <v>62934</v>
      </c>
      <c r="I26" s="22">
        <f>SUM(I27:I28)</f>
        <v>15734</v>
      </c>
      <c r="J26" s="41">
        <f t="shared" si="0"/>
        <v>0.7499968220473642</v>
      </c>
      <c r="K26" s="22">
        <f>SUM(K27:K28)</f>
        <v>314668</v>
      </c>
      <c r="L26" s="22">
        <f>SUM(L27:L28)</f>
        <v>298934</v>
      </c>
      <c r="M26" s="22">
        <f>SUM(M27:M28)</f>
        <v>236000</v>
      </c>
      <c r="N26" s="37" t="e">
        <f t="shared" si="1"/>
        <v>#DIV/0!</v>
      </c>
      <c r="O26" s="22">
        <f>SUM(O27:O28)</f>
        <v>78668</v>
      </c>
      <c r="P26" s="22">
        <f>SUM(P27:P28)</f>
        <v>62934</v>
      </c>
      <c r="Q26" s="22">
        <f>SUM(Q27:Q28)</f>
        <v>15734</v>
      </c>
    </row>
    <row r="27" spans="1:17" ht="12.75">
      <c r="A27" s="29"/>
      <c r="B27" s="29" t="s">
        <v>38</v>
      </c>
      <c r="C27" s="24">
        <f>D27+I27</f>
        <v>297028.18</v>
      </c>
      <c r="D27" s="24">
        <f>E27+H27</f>
        <v>282289.89</v>
      </c>
      <c r="E27" s="59">
        <f>188800+33971.38</f>
        <v>222771.38</v>
      </c>
      <c r="F27" s="38"/>
      <c r="G27" s="24">
        <f>H27+I27</f>
        <v>74256.8</v>
      </c>
      <c r="H27" s="59">
        <f>50347+9171.51</f>
        <v>59518.51</v>
      </c>
      <c r="I27" s="59">
        <f>12587+2151.29</f>
        <v>14738.29</v>
      </c>
      <c r="J27" s="41">
        <f t="shared" si="0"/>
        <v>0.7500008248375626</v>
      </c>
      <c r="K27" s="24">
        <f>L27+Q27</f>
        <v>251734</v>
      </c>
      <c r="L27" s="24">
        <f>M27+P27</f>
        <v>239147</v>
      </c>
      <c r="M27" s="24">
        <v>188800</v>
      </c>
      <c r="N27" s="38" t="e">
        <f t="shared" si="1"/>
        <v>#DIV/0!</v>
      </c>
      <c r="O27" s="24">
        <f>P27+Q27</f>
        <v>62934</v>
      </c>
      <c r="P27" s="24">
        <v>50347</v>
      </c>
      <c r="Q27" s="24">
        <v>12587</v>
      </c>
    </row>
    <row r="28" spans="1:17" ht="13.5" thickBot="1">
      <c r="A28" s="30"/>
      <c r="B28" s="30" t="s">
        <v>39</v>
      </c>
      <c r="C28" s="24">
        <f>D28+I28</f>
        <v>17639.82</v>
      </c>
      <c r="D28" s="24">
        <f>E28+H28</f>
        <v>16644.11</v>
      </c>
      <c r="E28" s="59">
        <f>47200-33971.38</f>
        <v>13228.620000000003</v>
      </c>
      <c r="F28" s="38"/>
      <c r="G28" s="24">
        <f>H28+I28</f>
        <v>4411.2</v>
      </c>
      <c r="H28" s="59">
        <f>12587-9171.51</f>
        <v>3415.49</v>
      </c>
      <c r="I28" s="59">
        <f>3147-2151.29</f>
        <v>995.71</v>
      </c>
      <c r="J28" s="41">
        <f t="shared" si="0"/>
        <v>0.7499294210485142</v>
      </c>
      <c r="K28" s="24">
        <f>L28+Q28</f>
        <v>62934</v>
      </c>
      <c r="L28" s="24">
        <f>M28+P28</f>
        <v>59787</v>
      </c>
      <c r="M28" s="24">
        <v>47200</v>
      </c>
      <c r="N28" s="38" t="e">
        <f t="shared" si="1"/>
        <v>#DIV/0!</v>
      </c>
      <c r="O28" s="24">
        <f>P28+Q28</f>
        <v>15734</v>
      </c>
      <c r="P28" s="24">
        <v>12587</v>
      </c>
      <c r="Q28" s="24">
        <v>3147</v>
      </c>
    </row>
    <row r="29" spans="1:17" ht="12.75">
      <c r="A29" s="26" t="s">
        <v>40</v>
      </c>
      <c r="B29" s="26"/>
      <c r="C29" s="39">
        <f>C7+C11+C14+C17+C20+C26</f>
        <v>4491535</v>
      </c>
      <c r="D29" s="39">
        <f>D7+D11+D14+D17+D20+D26</f>
        <v>4266960</v>
      </c>
      <c r="E29" s="39">
        <f>E7+E11+E14+E17+E20+E26</f>
        <v>3368651</v>
      </c>
      <c r="F29" s="40"/>
      <c r="G29" s="39">
        <f>G7+G11+G14+G17+G20+G26</f>
        <v>1122884</v>
      </c>
      <c r="H29" s="39">
        <f>H7+H11+H14+H17+H20+H26</f>
        <v>898309</v>
      </c>
      <c r="I29" s="39">
        <f>I7+I11+I14+I17+I20+I26</f>
        <v>224575</v>
      </c>
      <c r="J29" s="41">
        <f t="shared" si="0"/>
        <v>0.7499999443397413</v>
      </c>
      <c r="K29" s="39">
        <f>K7+K11+K14+K17+K20+K26</f>
        <v>4491535</v>
      </c>
      <c r="L29" s="39">
        <f>L7+L11+L14+L17+L20+L26</f>
        <v>4266960</v>
      </c>
      <c r="M29" s="39">
        <f>M7+M11+M14+M17+M20+M26</f>
        <v>3368651</v>
      </c>
      <c r="N29" s="40" t="e">
        <f t="shared" si="1"/>
        <v>#DIV/0!</v>
      </c>
      <c r="O29" s="39">
        <f>O7+O11+O14+O17+O20+O26</f>
        <v>1122884</v>
      </c>
      <c r="P29" s="39">
        <f>P7+P11+P14+P17+P20+P26</f>
        <v>898309</v>
      </c>
      <c r="Q29" s="39">
        <f>Q7+Q11+Q14+Q17+Q20+Q26</f>
        <v>224575</v>
      </c>
    </row>
    <row r="30" spans="1:9" ht="13.5" thickBot="1">
      <c r="A30" s="32"/>
      <c r="B30" s="32"/>
      <c r="C30" s="33"/>
      <c r="D30" s="33"/>
      <c r="E30" s="33"/>
      <c r="F30" s="33"/>
      <c r="G30" s="33"/>
      <c r="H30" s="33"/>
      <c r="I30" s="33"/>
    </row>
    <row r="31" spans="2:9" ht="21" customHeight="1">
      <c r="B31" s="77" t="s">
        <v>41</v>
      </c>
      <c r="C31" s="77"/>
      <c r="D31" s="77"/>
      <c r="E31" s="77"/>
      <c r="F31" s="77"/>
      <c r="G31" s="77"/>
      <c r="H31" s="77"/>
      <c r="I31" s="77"/>
    </row>
  </sheetData>
  <mergeCells count="2">
    <mergeCell ref="A3:I3"/>
    <mergeCell ref="B31:I31"/>
  </mergeCells>
  <printOptions/>
  <pageMargins left="0.75" right="0.75" top="1" bottom="1" header="0.4921259845" footer="0.4921259845"/>
  <pageSetup horizontalDpi="600" verticalDpi="600" orientation="portrait" paperSize="9" scale="7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Lilo Matiasek</dc:creator>
  <cp:keywords/>
  <dc:description/>
  <cp:lastModifiedBy>gal</cp:lastModifiedBy>
  <cp:lastPrinted>2007-09-17T07:22:55Z</cp:lastPrinted>
  <dcterms:created xsi:type="dcterms:W3CDTF">2004-12-02T16:42:11Z</dcterms:created>
  <dcterms:modified xsi:type="dcterms:W3CDTF">2007-10-05T08:13:18Z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