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ríloha k doložke_fin" sheetId="1" r:id="rId1"/>
  </sheets>
  <definedNames>
    <definedName name="_xlnm.Print_Titles" localSheetId="0">'príloha k doložke_fin'!$5:$7</definedName>
    <definedName name="_xlnm.Print_Area" localSheetId="0">'príloha k doložke_fin'!$A$1:$U$65</definedName>
  </definedNames>
  <calcPr fullCalcOnLoad="1"/>
</workbook>
</file>

<file path=xl/sharedStrings.xml><?xml version="1.0" encoding="utf-8"?>
<sst xmlns="http://schemas.openxmlformats.org/spreadsheetml/2006/main" count="153" uniqueCount="118">
  <si>
    <t>Zmeny vo výškach príspevkov na nástroje aktívnej politiky trhu práce</t>
  </si>
  <si>
    <t>Súčasný stav</t>
  </si>
  <si>
    <t xml:space="preserve">Navrhovaný stav </t>
  </si>
  <si>
    <t>§</t>
  </si>
  <si>
    <t>Zákonom stanovená výška príspevku</t>
  </si>
  <si>
    <t>Počet vytvorených-obsadených PM, resp. počet zaradených osôb, resp. počet podporených PM v roku 2006</t>
  </si>
  <si>
    <t>Zákonom navrhnutá výška príspevku</t>
  </si>
  <si>
    <t xml:space="preserve">Stanovenie výšky príspevku </t>
  </si>
  <si>
    <t>stĺ. 1</t>
  </si>
  <si>
    <t>§ 35a</t>
  </si>
  <si>
    <t>Národná sústava povolaní</t>
  </si>
  <si>
    <t>§ 46</t>
  </si>
  <si>
    <t xml:space="preserve">100% nákladov na I. vzdelávaciu aktivitu, 75% nákladov na II. vzdelávaciu aktivitu, 50 % nákladov na III. každú ďalšiu vzdelávaciu aktivitu počas 2 rokov </t>
  </si>
  <si>
    <t xml:space="preserve">do výšky 100% nákladov </t>
  </si>
  <si>
    <t xml:space="preserve"> 1 UoZ/mesiac</t>
  </si>
  <si>
    <t>§ 47</t>
  </si>
  <si>
    <t>najviac do výšky 90% oprávnených nákladov na vzdelávanie a na prípravu pre trh práce zamestnanca</t>
  </si>
  <si>
    <t>65 % nákladov na všeobecné vzdelávanie a 35 % nákladov na špecifické vzdelávanie</t>
  </si>
  <si>
    <t xml:space="preserve"> 1 zamestnanec/mesiac</t>
  </si>
  <si>
    <t>§ 48c</t>
  </si>
  <si>
    <t>v sume životného minima /mesačne</t>
  </si>
  <si>
    <t>§ 49</t>
  </si>
  <si>
    <t xml:space="preserve">najviac 100% z 24 x MCP </t>
  </si>
  <si>
    <t xml:space="preserve">BA kraj: 35% z 16xCCP </t>
  </si>
  <si>
    <t>(ďalšie náležitosti pre stanovenie výšky príspevku upravuje vyhl. č.44/2004 Z.z.)</t>
  </si>
  <si>
    <t>ostatné: 45% z 16xCCP</t>
  </si>
  <si>
    <t>§ 49a</t>
  </si>
  <si>
    <t>v sume život. minima max 3 mesiace</t>
  </si>
  <si>
    <t>§ 50</t>
  </si>
  <si>
    <t>do výšky 100% z CCP</t>
  </si>
  <si>
    <t xml:space="preserve">BA kraj: 20% z CCP </t>
  </si>
  <si>
    <t>ostatné: 30% z CCP</t>
  </si>
  <si>
    <t>§ 50a</t>
  </si>
  <si>
    <t>odvody platené zamestnávateľom za zamestnanca a odvody platené zamestnancom zo sumy 50 % z PM</t>
  </si>
  <si>
    <t>§ 50c</t>
  </si>
  <si>
    <t>1. rok 50 % z CCP mesačne</t>
  </si>
  <si>
    <t>2. rok 40 % z CCP mesačne</t>
  </si>
  <si>
    <t>§ 51</t>
  </si>
  <si>
    <t>v sume život. minima</t>
  </si>
  <si>
    <t>max 6 mesiacov</t>
  </si>
  <si>
    <t>§ 51a</t>
  </si>
  <si>
    <t>BA kraj: 25 % z CCP mesačne</t>
  </si>
  <si>
    <t>ostatné: 35 % z CCP mesačne</t>
  </si>
  <si>
    <t>§ 52</t>
  </si>
  <si>
    <t>najviac 10% z MCP</t>
  </si>
  <si>
    <t>10 % z CCP na 1 UoZ    (1 UoZ max 6 mesiacov)</t>
  </si>
  <si>
    <t>mesačne</t>
  </si>
  <si>
    <t>§ 52a</t>
  </si>
  <si>
    <t>v sume životného minima (max 6 mes.)</t>
  </si>
  <si>
    <t>§ 53</t>
  </si>
  <si>
    <t>najviac 2 000 Sk</t>
  </si>
  <si>
    <t>najviac 3 000 Sk</t>
  </si>
  <si>
    <t>(výška príspevku je diferencovaná v závislosti od vzdialenosti miesta výkonu práce)</t>
  </si>
  <si>
    <t>§ 53a</t>
  </si>
  <si>
    <t>najviac 40 000 Sk</t>
  </si>
  <si>
    <t>jednorazovo za 2 r.</t>
  </si>
  <si>
    <t>§ 53b</t>
  </si>
  <si>
    <t>50 %, resp. 100 % vynaložených nákladov</t>
  </si>
  <si>
    <t>§ 56</t>
  </si>
  <si>
    <t xml:space="preserve">BA kraj: 55% z 16xCCP </t>
  </si>
  <si>
    <t>ostatné: 65% z 16xCCP</t>
  </si>
  <si>
    <t>§ 56a</t>
  </si>
  <si>
    <t>0,72 % z CCP mesačne</t>
  </si>
  <si>
    <t>0,36 % z CCP mesačne</t>
  </si>
  <si>
    <t>§ 57</t>
  </si>
  <si>
    <t>§ 59</t>
  </si>
  <si>
    <t>najviac 90% z CCP</t>
  </si>
  <si>
    <t>najviac 90% z CCP (asistent pre zamestnanca so ZP)</t>
  </si>
  <si>
    <t>§ 60</t>
  </si>
  <si>
    <t>najviac 7 x MCP</t>
  </si>
  <si>
    <t>2,5*CCP</t>
  </si>
  <si>
    <t>5*CCP</t>
  </si>
  <si>
    <t>Spolu:</t>
  </si>
  <si>
    <t>Poznámky:</t>
  </si>
  <si>
    <r>
      <t>2009</t>
    </r>
    <r>
      <rPr>
        <b/>
        <vertAlign val="superscript"/>
        <sz val="10"/>
        <rFont val="Arial"/>
        <family val="2"/>
      </rPr>
      <t>3)</t>
    </r>
  </si>
  <si>
    <r>
      <t>2010</t>
    </r>
    <r>
      <rPr>
        <b/>
        <vertAlign val="superscript"/>
        <sz val="10"/>
        <rFont val="Arial"/>
        <family val="2"/>
      </rPr>
      <t>4)</t>
    </r>
  </si>
  <si>
    <t>§ 32</t>
  </si>
  <si>
    <t>§ 42</t>
  </si>
  <si>
    <t>§ 43</t>
  </si>
  <si>
    <t>paušálny príspevok:           1 700 Sk/mesačne</t>
  </si>
  <si>
    <t>v Sk</t>
  </si>
  <si>
    <t xml:space="preserve">Priemerná dohodnutá suma finančných prostriedkov Sk na 1 vytvorené-obsadené PM, resp. 1 zaradenú osobu, resp. 1 podporené PM za rok 2006 </t>
  </si>
  <si>
    <t>stĺ.2 (v Sk)</t>
  </si>
  <si>
    <t>Predpokladaný počet vytvorených-obsadených PM, resp. zaradených osôb, resp. podporených PM ročne (stĺ. 1) a predpokladaná celková suma finančných prostriedkov na realizáciu opatrení v rokoch 2008 - 2010 (stĺ. 2)</t>
  </si>
  <si>
    <t>Dohodnutá suma finančných prostriedkov v roku 2006</t>
  </si>
  <si>
    <t>§ 57a</t>
  </si>
  <si>
    <r>
      <t>§ 32 Sprostredkovanie zamestnania</t>
    </r>
    <r>
      <rPr>
        <sz val="10"/>
        <rFont val="Arial"/>
        <family val="2"/>
      </rPr>
      <t xml:space="preserve"> - náhrada časti cestovných výdavkov UoZ, ktoré súvisia s absolvovaním vstupného pohovoru alebo výberového konania u zamestnávateľa. Údaj vyjadruje počet kladne vybavených žiadostí o náhradu časti cestovných výdavkov v roku 2006.</t>
    </r>
  </si>
  <si>
    <t>§ 42 Informačné a poradenské služby</t>
  </si>
  <si>
    <r>
      <t>§ 43 Odborné poradenské služby</t>
    </r>
    <r>
      <rPr>
        <sz val="10"/>
        <rFont val="Arial"/>
        <family val="2"/>
      </rPr>
      <t xml:space="preserve"> - uplatnenie finančných príspevkov, ktoré súvisia s poksytnutými OPS (výdavky na stravovanie, ubytovanie a cestovné, príspevok na služby pre rodiny s deťmi).</t>
    </r>
  </si>
  <si>
    <t>§ 46 Vzdelávanie a príprava pre trh práce UoZ a ZoZ</t>
  </si>
  <si>
    <t>§ 47 Vzdelávanie a príprava pre trh práce zamestnanca</t>
  </si>
  <si>
    <t>§ 49 Príspevok na samostatnú zárobkovú činnosť</t>
  </si>
  <si>
    <t>§ 50 Príspevok na zamestnávanie znevýhodneného UoZ</t>
  </si>
  <si>
    <t>§ 51 Príspevok na vykonávanie absolventskej praxe</t>
  </si>
  <si>
    <t>§ 52 Príspevok na aktivačnú činnosť</t>
  </si>
  <si>
    <t>§ 56 Príspevok na zriadenie chránenej dielne alebo chráneného pracoviska a na ich zachovanie</t>
  </si>
  <si>
    <r>
      <t>§ 53 Príspevok na dochádzku za prácou</t>
    </r>
    <r>
      <rPr>
        <sz val="10"/>
        <rFont val="Arial"/>
        <family val="2"/>
      </rPr>
      <t xml:space="preserve"> - údaj vyjadruje celkový počet kladne vybavených žiadostí</t>
    </r>
  </si>
  <si>
    <t>§ 57 Príspevok občanovi so zdravotným postihnutím na prevádzkovanie alebo vykonávanie samostatnej zárobkovej činnosti</t>
  </si>
  <si>
    <t>§ 59 Príspevok na činnosť pracovného asistenta</t>
  </si>
  <si>
    <t>§ 60 Príspevok na úhradu prevádzkových nákladov chránenej dielne alebo chráneného pracoviska a na úhradu nákladov na dopravu zamestnancov</t>
  </si>
  <si>
    <r>
      <t xml:space="preserve">§ 48c Výška dávky </t>
    </r>
    <r>
      <rPr>
        <sz val="10"/>
        <rFont val="Arial"/>
        <family val="2"/>
      </rPr>
      <t>- počas vzdelávania a prípravy pre trh práce a počas prípravy na pracovné uplatnenie občana so zdravotným postihnutím</t>
    </r>
  </si>
  <si>
    <t>§ 49a Príspevok na zapracovanie znevýhodneného UoZ</t>
  </si>
  <si>
    <t>§ 50a Príspevok na podporu udržania v zamestnaní zamestnancov s nízkymi mzdami</t>
  </si>
  <si>
    <t>§ 50c Podpora vytvárania a udržania pracovných miest v sociálnom podniku</t>
  </si>
  <si>
    <t>§ 51a Príspevok na podporu zamestnávania účastníkov vzdelávania a prípravy pre trh práce</t>
  </si>
  <si>
    <t>§ 52 Príspevok na aktivačnú činnosť formou menších obecných služieb pre obec</t>
  </si>
  <si>
    <t>§ 52a Príspevok na aktivačnú činnosť formou dobrovoľníckej služby</t>
  </si>
  <si>
    <t>§ 53a Príspevok na presťahovanie za prácou</t>
  </si>
  <si>
    <t>§ 53b Príspevok na dopravu do zamestnania</t>
  </si>
  <si>
    <t>§ 56a Príspevok na udržanie občana so zdravotným postihnutím v zamestnaní</t>
  </si>
  <si>
    <r>
      <t xml:space="preserve">§ 57a Príspevok na obnovu alebo technické zhodnotenie hmotného majetku chránenej dielne alebo chráneného pracoviska </t>
    </r>
    <r>
      <rPr>
        <sz val="10"/>
        <rFont val="Arial"/>
        <family val="2"/>
      </rPr>
      <t xml:space="preserve">- zdrojom financovania je štátny rozpočet. Výška finančných prostriedkov na účely vyplácania príspevkov je súčasťou rozpočtovaných výdavkov ústredia najviac vo výške rozpočtovaných príjmov z odvodov podľa § 65. </t>
    </r>
  </si>
  <si>
    <r>
      <t>2008</t>
    </r>
    <r>
      <rPr>
        <b/>
        <vertAlign val="superscript"/>
        <sz val="10"/>
        <rFont val="Arial"/>
        <family val="2"/>
      </rPr>
      <t>1)</t>
    </r>
  </si>
  <si>
    <r>
      <t>2009</t>
    </r>
    <r>
      <rPr>
        <b/>
        <vertAlign val="superscript"/>
        <sz val="10"/>
        <rFont val="Arial"/>
        <family val="2"/>
      </rPr>
      <t>2)</t>
    </r>
  </si>
  <si>
    <r>
      <t>2010</t>
    </r>
    <r>
      <rPr>
        <b/>
        <vertAlign val="superscript"/>
        <sz val="10"/>
        <rFont val="Arial"/>
        <family val="2"/>
      </rPr>
      <t>3)</t>
    </r>
  </si>
  <si>
    <t>Predpokladaná priemerná suma finančných prostriedkov na 1 vytvorené-obsadené PM, resp. 1 zaradenú osobu, resp. 1 podporené PM ročne</t>
  </si>
  <si>
    <t>1) Výška sumy príspevkov na rok 2008 na konktrétne nástroje, okrem § 32, 42, 43, 35a, 46, 47, 48c, 49a, 50c, 51, 53, 53a, 53b, je vypočítaná z priemernej mzdy zamestnanca v hospodárstve SR prognózovanej na rok 2007. Výška dávky/príspevku v § 48c, 49a, 51, 52a na rok 2008 je vypočítaná ako priemer sumy životného minima platného do 30.6.2008 a prognózovanej sumy životného minima od 1.7.2008. (zdroj: IFP MF SR)</t>
  </si>
  <si>
    <t>2) Výška sumy príspevkov na rok 2009 na konktrétne nástroje, okrem § 32, 42, 43, 35a, 46, 47, 48c, 49, 50c, 51, 53, 53a, 53b, je vypočítaná z priemernej mzdy zamestnanca v hospodárstve SR prognózovanej za rok 2008. Výška dávky/príspevku v § 48c, 49a, 51, 52a na rok 2008 je vypočítaná ako priemer prognózovanej sumy životného minima do 30.6.2009 a prognózovanej sumy životného minima od 1.7.2009. (zdroj: IFP MF SR)</t>
  </si>
  <si>
    <t>3) Výška sumy príspevkov na rok 2010 na konktrétne nástroje, okrem § 32, 42, 43, 35a, 46, 47, 48c, 49, 50c, 51, 53, 53a, 53b, je vypočítaná z priemernej mzdy zamestnanca v hospodárstve SR odhadovanej za rok 2009. Výška dávky/príspevku v § 48c, 49a, 51, 52a na rok 2008 je vypočítaná ako priemer prognózovanej sumy životného minima do 30.6.2010 a prognózovanej sumy životného minima od 1.7.2010. (zdroj: IFP MF SR)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</si>
</sst>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"/>
    <numFmt numFmtId="179" formatCode="#,##0\ &quot;Sk&quot;"/>
    <numFmt numFmtId="180" formatCode="#,##0.00\ &quot;Sk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5" fillId="0" borderId="3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6" borderId="13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 wrapText="1" shrinkToFit="1"/>
    </xf>
    <xf numFmtId="0" fontId="5" fillId="6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/>
    </xf>
    <xf numFmtId="49" fontId="0" fillId="2" borderId="4" xfId="0" applyNumberFormat="1" applyFill="1" applyBorder="1" applyAlignment="1">
      <alignment horizontal="left" wrapText="1" shrinkToFit="1"/>
    </xf>
    <xf numFmtId="0" fontId="0" fillId="2" borderId="5" xfId="0" applyFill="1" applyBorder="1" applyAlignment="1">
      <alignment horizontal="left" wrapText="1"/>
    </xf>
    <xf numFmtId="0" fontId="0" fillId="2" borderId="15" xfId="0" applyFill="1" applyBorder="1" applyAlignment="1">
      <alignment wrapText="1" shrinkToFit="1"/>
    </xf>
    <xf numFmtId="179" fontId="0" fillId="3" borderId="16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5" borderId="16" xfId="0" applyNumberFormat="1" applyFill="1" applyBorder="1" applyAlignment="1">
      <alignment/>
    </xf>
    <xf numFmtId="0" fontId="5" fillId="2" borderId="17" xfId="0" applyFont="1" applyFill="1" applyBorder="1" applyAlignment="1">
      <alignment horizontal="left"/>
    </xf>
    <xf numFmtId="49" fontId="0" fillId="2" borderId="18" xfId="0" applyNumberFormat="1" applyFill="1" applyBorder="1" applyAlignment="1">
      <alignment horizontal="left" wrapText="1" shrinkToFit="1"/>
    </xf>
    <xf numFmtId="49" fontId="0" fillId="2" borderId="5" xfId="0" applyNumberFormat="1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179" fontId="0" fillId="3" borderId="14" xfId="0" applyNumberFormat="1" applyFill="1" applyBorder="1" applyAlignment="1">
      <alignment/>
    </xf>
    <xf numFmtId="3" fontId="0" fillId="3" borderId="17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5" borderId="14" xfId="0" applyNumberFormat="1" applyFill="1" applyBorder="1" applyAlignment="1">
      <alignment/>
    </xf>
    <xf numFmtId="0" fontId="5" fillId="6" borderId="17" xfId="0" applyFont="1" applyFill="1" applyBorder="1" applyAlignment="1">
      <alignment horizontal="left"/>
    </xf>
    <xf numFmtId="179" fontId="0" fillId="6" borderId="0" xfId="0" applyNumberFormat="1" applyFill="1" applyBorder="1" applyAlignment="1">
      <alignment horizontal="right" wrapText="1"/>
    </xf>
    <xf numFmtId="179" fontId="0" fillId="3" borderId="20" xfId="0" applyNumberFormat="1" applyFill="1" applyBorder="1" applyAlignment="1">
      <alignment/>
    </xf>
    <xf numFmtId="179" fontId="0" fillId="3" borderId="21" xfId="0" applyNumberFormat="1" applyFill="1" applyBorder="1" applyAlignment="1">
      <alignment/>
    </xf>
    <xf numFmtId="0" fontId="3" fillId="2" borderId="22" xfId="0" applyFont="1" applyFill="1" applyBorder="1" applyAlignment="1">
      <alignment horizontal="left" wrapText="1" shrinkToFit="1"/>
    </xf>
    <xf numFmtId="0" fontId="0" fillId="2" borderId="23" xfId="0" applyFill="1" applyBorder="1" applyAlignment="1">
      <alignment horizontal="left" wrapText="1"/>
    </xf>
    <xf numFmtId="179" fontId="0" fillId="2" borderId="24" xfId="0" applyNumberFormat="1" applyFill="1" applyBorder="1" applyAlignment="1">
      <alignment horizontal="right"/>
    </xf>
    <xf numFmtId="0" fontId="3" fillId="2" borderId="25" xfId="0" applyFont="1" applyFill="1" applyBorder="1" applyAlignment="1">
      <alignment horizontal="left" wrapText="1" shrinkToFit="1"/>
    </xf>
    <xf numFmtId="0" fontId="0" fillId="2" borderId="26" xfId="0" applyFill="1" applyBorder="1" applyAlignment="1">
      <alignment horizontal="left" wrapText="1"/>
    </xf>
    <xf numFmtId="179" fontId="0" fillId="2" borderId="11" xfId="0" applyNumberFormat="1" applyFill="1" applyBorder="1" applyAlignment="1">
      <alignment horizontal="right"/>
    </xf>
    <xf numFmtId="179" fontId="0" fillId="3" borderId="20" xfId="0" applyNumberFormat="1" applyFill="1" applyBorder="1" applyAlignment="1">
      <alignment horizontal="right"/>
    </xf>
    <xf numFmtId="0" fontId="5" fillId="6" borderId="17" xfId="0" applyFont="1" applyFill="1" applyBorder="1" applyAlignment="1">
      <alignment horizontal="left" vertical="center"/>
    </xf>
    <xf numFmtId="179" fontId="0" fillId="3" borderId="27" xfId="0" applyNumberFormat="1" applyFill="1" applyBorder="1" applyAlignment="1">
      <alignment horizontal="right"/>
    </xf>
    <xf numFmtId="0" fontId="3" fillId="2" borderId="28" xfId="0" applyFont="1" applyFill="1" applyBorder="1" applyAlignment="1">
      <alignment horizontal="left" wrapText="1" shrinkToFit="1"/>
    </xf>
    <xf numFmtId="0" fontId="0" fillId="2" borderId="29" xfId="0" applyFill="1" applyBorder="1" applyAlignment="1">
      <alignment horizontal="left" wrapText="1"/>
    </xf>
    <xf numFmtId="179" fontId="0" fillId="2" borderId="30" xfId="0" applyNumberFormat="1" applyFill="1" applyBorder="1" applyAlignment="1">
      <alignment horizontal="right"/>
    </xf>
    <xf numFmtId="179" fontId="0" fillId="3" borderId="17" xfId="0" applyNumberFormat="1" applyFill="1" applyBorder="1" applyAlignment="1">
      <alignment horizontal="right"/>
    </xf>
    <xf numFmtId="179" fontId="0" fillId="2" borderId="27" xfId="0" applyNumberFormat="1" applyFill="1" applyBorder="1" applyAlignment="1">
      <alignment horizontal="right"/>
    </xf>
    <xf numFmtId="0" fontId="0" fillId="6" borderId="31" xfId="0" applyFill="1" applyBorder="1" applyAlignment="1">
      <alignment horizontal="left" vertical="center" wrapText="1" shrinkToFit="1"/>
    </xf>
    <xf numFmtId="179" fontId="0" fillId="6" borderId="14" xfId="0" applyNumberFormat="1" applyFill="1" applyBorder="1" applyAlignment="1">
      <alignment horizontal="right"/>
    </xf>
    <xf numFmtId="179" fontId="0" fillId="3" borderId="4" xfId="0" applyNumberFormat="1" applyFill="1" applyBorder="1" applyAlignment="1">
      <alignment/>
    </xf>
    <xf numFmtId="3" fontId="0" fillId="5" borderId="17" xfId="0" applyNumberFormat="1" applyFill="1" applyBorder="1" applyAlignment="1">
      <alignment/>
    </xf>
    <xf numFmtId="0" fontId="0" fillId="6" borderId="23" xfId="0" applyFill="1" applyBorder="1" applyAlignment="1">
      <alignment horizontal="left" wrapText="1" shrinkToFit="1"/>
    </xf>
    <xf numFmtId="0" fontId="0" fillId="6" borderId="0" xfId="0" applyFill="1" applyAlignment="1">
      <alignment/>
    </xf>
    <xf numFmtId="179" fontId="0" fillId="3" borderId="30" xfId="0" applyNumberFormat="1" applyFill="1" applyBorder="1" applyAlignment="1">
      <alignment horizontal="right"/>
    </xf>
    <xf numFmtId="0" fontId="0" fillId="6" borderId="12" xfId="0" applyFill="1" applyBorder="1" applyAlignment="1">
      <alignment horizontal="left" wrapText="1" shrinkToFit="1"/>
    </xf>
    <xf numFmtId="0" fontId="0" fillId="6" borderId="32" xfId="0" applyFill="1" applyBorder="1" applyAlignment="1">
      <alignment/>
    </xf>
    <xf numFmtId="0" fontId="0" fillId="3" borderId="27" xfId="0" applyFill="1" applyBorder="1" applyAlignment="1">
      <alignment horizontal="right"/>
    </xf>
    <xf numFmtId="0" fontId="0" fillId="2" borderId="31" xfId="0" applyFill="1" applyBorder="1" applyAlignment="1">
      <alignment horizontal="left" wrapText="1"/>
    </xf>
    <xf numFmtId="179" fontId="0" fillId="2" borderId="24" xfId="0" applyNumberFormat="1" applyFill="1" applyBorder="1" applyAlignment="1">
      <alignment/>
    </xf>
    <xf numFmtId="179" fontId="0" fillId="2" borderId="0" xfId="0" applyNumberFormat="1" applyFill="1" applyAlignment="1">
      <alignment/>
    </xf>
    <xf numFmtId="0" fontId="0" fillId="6" borderId="23" xfId="0" applyFill="1" applyBorder="1" applyAlignment="1">
      <alignment wrapText="1"/>
    </xf>
    <xf numFmtId="179" fontId="0" fillId="6" borderId="33" xfId="0" applyNumberFormat="1" applyFill="1" applyBorder="1" applyAlignment="1">
      <alignment wrapText="1"/>
    </xf>
    <xf numFmtId="0" fontId="0" fillId="6" borderId="12" xfId="0" applyFill="1" applyBorder="1" applyAlignment="1">
      <alignment wrapText="1"/>
    </xf>
    <xf numFmtId="179" fontId="0" fillId="6" borderId="34" xfId="0" applyNumberFormat="1" applyFill="1" applyBorder="1" applyAlignment="1">
      <alignment wrapText="1"/>
    </xf>
    <xf numFmtId="0" fontId="0" fillId="2" borderId="4" xfId="0" applyFill="1" applyBorder="1" applyAlignment="1">
      <alignment horizontal="left" wrapText="1" shrinkToFit="1"/>
    </xf>
    <xf numFmtId="6" fontId="0" fillId="6" borderId="23" xfId="0" applyNumberFormat="1" applyFill="1" applyBorder="1" applyAlignment="1">
      <alignment horizontal="left" wrapText="1"/>
    </xf>
    <xf numFmtId="0" fontId="0" fillId="6" borderId="24" xfId="0" applyFill="1" applyBorder="1" applyAlignment="1">
      <alignment/>
    </xf>
    <xf numFmtId="0" fontId="0" fillId="6" borderId="35" xfId="0" applyFill="1" applyBorder="1" applyAlignment="1">
      <alignment/>
    </xf>
    <xf numFmtId="179" fontId="0" fillId="3" borderId="21" xfId="0" applyNumberFormat="1" applyFill="1" applyBorder="1" applyAlignment="1">
      <alignment horizontal="right"/>
    </xf>
    <xf numFmtId="0" fontId="0" fillId="6" borderId="36" xfId="0" applyFill="1" applyBorder="1" applyAlignment="1">
      <alignment/>
    </xf>
    <xf numFmtId="0" fontId="0" fillId="2" borderId="33" xfId="0" applyFill="1" applyBorder="1" applyAlignment="1">
      <alignment/>
    </xf>
    <xf numFmtId="0" fontId="3" fillId="2" borderId="18" xfId="0" applyFont="1" applyFill="1" applyBorder="1" applyAlignment="1">
      <alignment horizontal="left" wrapText="1" shrinkToFit="1"/>
    </xf>
    <xf numFmtId="0" fontId="0" fillId="2" borderId="0" xfId="0" applyFill="1" applyBorder="1" applyAlignment="1">
      <alignment horizontal="center"/>
    </xf>
    <xf numFmtId="0" fontId="5" fillId="6" borderId="14" xfId="0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179" fontId="0" fillId="3" borderId="14" xfId="0" applyNumberFormat="1" applyFill="1" applyBorder="1" applyAlignment="1">
      <alignment horizontal="right"/>
    </xf>
    <xf numFmtId="0" fontId="0" fillId="6" borderId="31" xfId="0" applyFill="1" applyBorder="1" applyAlignment="1">
      <alignment horizontal="left" wrapText="1" shrinkToFit="1"/>
    </xf>
    <xf numFmtId="0" fontId="0" fillId="2" borderId="23" xfId="0" applyFill="1" applyBorder="1" applyAlignment="1">
      <alignment wrapText="1"/>
    </xf>
    <xf numFmtId="0" fontId="3" fillId="2" borderId="37" xfId="0" applyFont="1" applyFill="1" applyBorder="1" applyAlignment="1">
      <alignment horizontal="left" wrapText="1" shrinkToFit="1"/>
    </xf>
    <xf numFmtId="0" fontId="0" fillId="2" borderId="12" xfId="0" applyFill="1" applyBorder="1" applyAlignment="1">
      <alignment/>
    </xf>
    <xf numFmtId="179" fontId="0" fillId="2" borderId="36" xfId="0" applyNumberFormat="1" applyFill="1" applyBorder="1" applyAlignment="1">
      <alignment/>
    </xf>
    <xf numFmtId="0" fontId="0" fillId="6" borderId="31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179" fontId="0" fillId="2" borderId="24" xfId="0" applyNumberFormat="1" applyFill="1" applyBorder="1" applyAlignment="1">
      <alignment wrapText="1" shrinkToFit="1"/>
    </xf>
    <xf numFmtId="0" fontId="0" fillId="2" borderId="39" xfId="0" applyFill="1" applyBorder="1" applyAlignment="1">
      <alignment horizontal="left"/>
    </xf>
    <xf numFmtId="0" fontId="5" fillId="3" borderId="36" xfId="0" applyFont="1" applyFill="1" applyBorder="1" applyAlignment="1">
      <alignment horizontal="center" vertical="center"/>
    </xf>
    <xf numFmtId="3" fontId="0" fillId="4" borderId="16" xfId="0" applyNumberFormat="1" applyFill="1" applyBorder="1" applyAlignment="1">
      <alignment/>
    </xf>
    <xf numFmtId="0" fontId="0" fillId="2" borderId="26" xfId="0" applyFill="1" applyBorder="1" applyAlignment="1">
      <alignment horizontal="left"/>
    </xf>
    <xf numFmtId="3" fontId="5" fillId="4" borderId="14" xfId="0" applyNumberFormat="1" applyFont="1" applyFill="1" applyBorder="1" applyAlignment="1">
      <alignment/>
    </xf>
    <xf numFmtId="0" fontId="5" fillId="0" borderId="0" xfId="0" applyFont="1" applyAlignment="1">
      <alignment vertical="top" wrapText="1" shrinkToFi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3" fontId="0" fillId="5" borderId="21" xfId="0" applyNumberFormat="1" applyFill="1" applyBorder="1" applyAlignment="1">
      <alignment horizontal="right"/>
    </xf>
    <xf numFmtId="3" fontId="0" fillId="5" borderId="10" xfId="0" applyNumberFormat="1" applyFill="1" applyBorder="1" applyAlignment="1">
      <alignment horizontal="right"/>
    </xf>
    <xf numFmtId="0" fontId="5" fillId="4" borderId="33" xfId="0" applyFont="1" applyFill="1" applyBorder="1" applyAlignment="1">
      <alignment horizontal="center"/>
    </xf>
    <xf numFmtId="3" fontId="0" fillId="3" borderId="7" xfId="0" applyNumberFormat="1" applyFill="1" applyBorder="1" applyAlignment="1">
      <alignment/>
    </xf>
    <xf numFmtId="3" fontId="0" fillId="3" borderId="8" xfId="0" applyNumberFormat="1" applyFill="1" applyBorder="1" applyAlignment="1">
      <alignment/>
    </xf>
    <xf numFmtId="3" fontId="0" fillId="5" borderId="40" xfId="0" applyNumberFormat="1" applyFill="1" applyBorder="1" applyAlignment="1">
      <alignment horizontal="right"/>
    </xf>
    <xf numFmtId="3" fontId="0" fillId="4" borderId="21" xfId="0" applyNumberFormat="1" applyFill="1" applyBorder="1" applyAlignment="1">
      <alignment horizontal="right"/>
    </xf>
    <xf numFmtId="3" fontId="0" fillId="4" borderId="10" xfId="0" applyNumberFormat="1" applyFill="1" applyBorder="1" applyAlignment="1">
      <alignment horizontal="right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0" fillId="3" borderId="14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 horizontal="right"/>
    </xf>
    <xf numFmtId="3" fontId="0" fillId="3" borderId="11" xfId="0" applyNumberFormat="1" applyFont="1" applyFill="1" applyBorder="1" applyAlignment="1">
      <alignment horizontal="right"/>
    </xf>
    <xf numFmtId="3" fontId="0" fillId="4" borderId="10" xfId="0" applyNumberFormat="1" applyFont="1" applyFill="1" applyBorder="1" applyAlignment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5" borderId="10" xfId="0" applyNumberFormat="1" applyFont="1" applyFill="1" applyBorder="1" applyAlignment="1">
      <alignment horizontal="right"/>
    </xf>
    <xf numFmtId="3" fontId="0" fillId="5" borderId="8" xfId="0" applyNumberFormat="1" applyFont="1" applyFill="1" applyBorder="1" applyAlignment="1">
      <alignment horizontal="right"/>
    </xf>
    <xf numFmtId="3" fontId="0" fillId="3" borderId="40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3" fontId="0" fillId="4" borderId="40" xfId="0" applyNumberFormat="1" applyFont="1" applyFill="1" applyBorder="1" applyAlignment="1">
      <alignment horizontal="right" vertical="center"/>
    </xf>
    <xf numFmtId="3" fontId="0" fillId="5" borderId="13" xfId="0" applyNumberFormat="1" applyFont="1" applyFill="1" applyBorder="1" applyAlignment="1">
      <alignment horizontal="right" vertical="center"/>
    </xf>
    <xf numFmtId="3" fontId="0" fillId="5" borderId="40" xfId="0" applyNumberFormat="1" applyFont="1" applyFill="1" applyBorder="1" applyAlignment="1">
      <alignment horizontal="right" vertical="center"/>
    </xf>
    <xf numFmtId="3" fontId="0" fillId="3" borderId="42" xfId="0" applyNumberFormat="1" applyFont="1" applyFill="1" applyBorder="1" applyAlignment="1">
      <alignment horizontal="right" vertical="center"/>
    </xf>
    <xf numFmtId="3" fontId="0" fillId="4" borderId="19" xfId="0" applyNumberFormat="1" applyFont="1" applyFill="1" applyBorder="1" applyAlignment="1">
      <alignment horizontal="right" vertical="center"/>
    </xf>
    <xf numFmtId="3" fontId="0" fillId="4" borderId="15" xfId="0" applyNumberFormat="1" applyFont="1" applyFill="1" applyBorder="1" applyAlignment="1">
      <alignment horizontal="right" vertical="center"/>
    </xf>
    <xf numFmtId="3" fontId="0" fillId="4" borderId="40" xfId="0" applyNumberFormat="1" applyFill="1" applyBorder="1" applyAlignment="1">
      <alignment/>
    </xf>
    <xf numFmtId="3" fontId="0" fillId="3" borderId="40" xfId="0" applyNumberFormat="1" applyFill="1" applyBorder="1" applyAlignment="1">
      <alignment/>
    </xf>
    <xf numFmtId="3" fontId="0" fillId="5" borderId="3" xfId="0" applyNumberFormat="1" applyFont="1" applyFill="1" applyBorder="1" applyAlignment="1">
      <alignment horizontal="right" vertical="center"/>
    </xf>
    <xf numFmtId="3" fontId="0" fillId="5" borderId="15" xfId="0" applyNumberFormat="1" applyFont="1" applyFill="1" applyBorder="1" applyAlignment="1">
      <alignment horizontal="right" vertical="center"/>
    </xf>
    <xf numFmtId="3" fontId="0" fillId="3" borderId="42" xfId="0" applyNumberFormat="1" applyFont="1" applyFill="1" applyBorder="1" applyAlignment="1">
      <alignment/>
    </xf>
    <xf numFmtId="3" fontId="0" fillId="4" borderId="43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0" fillId="5" borderId="14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4" borderId="29" xfId="0" applyNumberFormat="1" applyFill="1" applyBorder="1" applyAlignment="1">
      <alignment/>
    </xf>
    <xf numFmtId="3" fontId="0" fillId="5" borderId="29" xfId="0" applyNumberFormat="1" applyFill="1" applyBorder="1" applyAlignment="1">
      <alignment/>
    </xf>
    <xf numFmtId="3" fontId="0" fillId="3" borderId="19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5" borderId="40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5" borderId="5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5" borderId="15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3" fontId="0" fillId="5" borderId="20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5" borderId="21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4" borderId="30" xfId="0" applyNumberFormat="1" applyFill="1" applyBorder="1" applyAlignment="1">
      <alignment horizontal="right"/>
    </xf>
    <xf numFmtId="3" fontId="0" fillId="5" borderId="30" xfId="0" applyNumberFormat="1" applyFill="1" applyBorder="1" applyAlignment="1">
      <alignment horizontal="right"/>
    </xf>
    <xf numFmtId="3" fontId="0" fillId="3" borderId="26" xfId="0" applyNumberFormat="1" applyFill="1" applyBorder="1" applyAlignment="1">
      <alignment horizontal="right"/>
    </xf>
    <xf numFmtId="3" fontId="0" fillId="4" borderId="27" xfId="0" applyNumberFormat="1" applyFill="1" applyBorder="1" applyAlignment="1">
      <alignment horizontal="right"/>
    </xf>
    <xf numFmtId="3" fontId="0" fillId="5" borderId="27" xfId="0" applyNumberFormat="1" applyFill="1" applyBorder="1" applyAlignment="1">
      <alignment horizontal="right"/>
    </xf>
    <xf numFmtId="3" fontId="0" fillId="3" borderId="40" xfId="0" applyNumberFormat="1" applyFill="1" applyBorder="1" applyAlignment="1">
      <alignment horizontal="right"/>
    </xf>
    <xf numFmtId="3" fontId="0" fillId="4" borderId="20" xfId="0" applyNumberFormat="1" applyFill="1" applyBorder="1" applyAlignment="1">
      <alignment horizontal="right"/>
    </xf>
    <xf numFmtId="3" fontId="0" fillId="5" borderId="20" xfId="0" applyNumberFormat="1" applyFill="1" applyBorder="1" applyAlignment="1">
      <alignment horizontal="right"/>
    </xf>
    <xf numFmtId="3" fontId="0" fillId="4" borderId="17" xfId="0" applyNumberFormat="1" applyFill="1" applyBorder="1" applyAlignment="1">
      <alignment horizontal="right"/>
    </xf>
    <xf numFmtId="3" fontId="0" fillId="4" borderId="40" xfId="0" applyNumberFormat="1" applyFill="1" applyBorder="1" applyAlignment="1">
      <alignment horizontal="right"/>
    </xf>
    <xf numFmtId="3" fontId="0" fillId="5" borderId="17" xfId="0" applyNumberFormat="1" applyFill="1" applyBorder="1" applyAlignment="1">
      <alignment horizontal="right"/>
    </xf>
    <xf numFmtId="3" fontId="0" fillId="3" borderId="23" xfId="0" applyNumberFormat="1" applyFill="1" applyBorder="1" applyAlignment="1">
      <alignment horizontal="right"/>
    </xf>
    <xf numFmtId="3" fontId="0" fillId="3" borderId="33" xfId="0" applyNumberFormat="1" applyFill="1" applyBorder="1" applyAlignment="1">
      <alignment horizontal="right"/>
    </xf>
    <xf numFmtId="3" fontId="0" fillId="4" borderId="33" xfId="0" applyNumberFormat="1" applyFill="1" applyBorder="1" applyAlignment="1">
      <alignment horizontal="right"/>
    </xf>
    <xf numFmtId="3" fontId="0" fillId="5" borderId="33" xfId="0" applyNumberFormat="1" applyFill="1" applyBorder="1" applyAlignment="1">
      <alignment horizontal="right"/>
    </xf>
    <xf numFmtId="3" fontId="0" fillId="4" borderId="14" xfId="0" applyNumberFormat="1" applyFill="1" applyBorder="1" applyAlignment="1">
      <alignment horizontal="right"/>
    </xf>
    <xf numFmtId="3" fontId="0" fillId="5" borderId="14" xfId="0" applyNumberFormat="1" applyFill="1" applyBorder="1" applyAlignment="1">
      <alignment horizontal="right"/>
    </xf>
    <xf numFmtId="0" fontId="0" fillId="0" borderId="9" xfId="0" applyBorder="1" applyAlignment="1">
      <alignment/>
    </xf>
    <xf numFmtId="0" fontId="5" fillId="3" borderId="24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wrapText="1"/>
    </xf>
    <xf numFmtId="3" fontId="0" fillId="2" borderId="4" xfId="0" applyNumberFormat="1" applyFill="1" applyBorder="1" applyAlignment="1">
      <alignment horizontal="right"/>
    </xf>
    <xf numFmtId="3" fontId="0" fillId="2" borderId="18" xfId="0" applyNumberFormat="1" applyFill="1" applyBorder="1" applyAlignment="1">
      <alignment horizontal="right" wrapText="1"/>
    </xf>
    <xf numFmtId="3" fontId="0" fillId="2" borderId="18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5" fillId="2" borderId="3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7" borderId="14" xfId="0" applyFont="1" applyFill="1" applyBorder="1" applyAlignment="1">
      <alignment/>
    </xf>
    <xf numFmtId="3" fontId="5" fillId="7" borderId="5" xfId="0" applyNumberFormat="1" applyFont="1" applyFill="1" applyBorder="1" applyAlignment="1">
      <alignment horizontal="right"/>
    </xf>
    <xf numFmtId="3" fontId="5" fillId="7" borderId="42" xfId="0" applyNumberFormat="1" applyFont="1" applyFill="1" applyBorder="1" applyAlignment="1">
      <alignment/>
    </xf>
    <xf numFmtId="3" fontId="5" fillId="7" borderId="14" xfId="0" applyNumberFormat="1" applyFont="1" applyFill="1" applyBorder="1" applyAlignment="1">
      <alignment/>
    </xf>
    <xf numFmtId="3" fontId="5" fillId="7" borderId="19" xfId="0" applyNumberFormat="1" applyFont="1" applyFill="1" applyBorder="1" applyAlignment="1">
      <alignment/>
    </xf>
    <xf numFmtId="3" fontId="5" fillId="7" borderId="15" xfId="0" applyNumberFormat="1" applyFont="1" applyFill="1" applyBorder="1" applyAlignment="1">
      <alignment/>
    </xf>
    <xf numFmtId="0" fontId="5" fillId="7" borderId="4" xfId="0" applyFont="1" applyFill="1" applyBorder="1" applyAlignment="1">
      <alignment/>
    </xf>
    <xf numFmtId="3" fontId="5" fillId="7" borderId="4" xfId="0" applyNumberFormat="1" applyFont="1" applyFill="1" applyBorder="1" applyAlignment="1">
      <alignment horizontal="right"/>
    </xf>
    <xf numFmtId="0" fontId="5" fillId="7" borderId="15" xfId="0" applyFont="1" applyFill="1" applyBorder="1" applyAlignment="1">
      <alignment/>
    </xf>
    <xf numFmtId="0" fontId="5" fillId="7" borderId="42" xfId="0" applyFont="1" applyFill="1" applyBorder="1" applyAlignment="1">
      <alignment/>
    </xf>
    <xf numFmtId="3" fontId="5" fillId="7" borderId="0" xfId="0" applyNumberFormat="1" applyFont="1" applyFill="1" applyAlignment="1">
      <alignment/>
    </xf>
    <xf numFmtId="179" fontId="0" fillId="2" borderId="35" xfId="0" applyNumberForma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 shrinkToFit="1"/>
    </xf>
    <xf numFmtId="3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6" borderId="31" xfId="0" applyFill="1" applyBorder="1" applyAlignment="1">
      <alignment/>
    </xf>
    <xf numFmtId="0" fontId="0" fillId="0" borderId="45" xfId="0" applyFill="1" applyBorder="1" applyAlignment="1">
      <alignment/>
    </xf>
    <xf numFmtId="6" fontId="0" fillId="2" borderId="5" xfId="0" applyNumberFormat="1" applyFill="1" applyBorder="1" applyAlignment="1">
      <alignment horizontal="left" wrapText="1"/>
    </xf>
    <xf numFmtId="0" fontId="0" fillId="2" borderId="42" xfId="0" applyFill="1" applyBorder="1" applyAlignment="1">
      <alignment/>
    </xf>
    <xf numFmtId="3" fontId="0" fillId="3" borderId="15" xfId="0" applyNumberFormat="1" applyFill="1" applyBorder="1" applyAlignment="1">
      <alignment horizontal="right"/>
    </xf>
    <xf numFmtId="3" fontId="0" fillId="4" borderId="15" xfId="0" applyNumberFormat="1" applyFill="1" applyBorder="1" applyAlignment="1">
      <alignment horizontal="right"/>
    </xf>
    <xf numFmtId="3" fontId="0" fillId="5" borderId="15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4" borderId="40" xfId="0" applyNumberFormat="1" applyFill="1" applyBorder="1" applyAlignment="1">
      <alignment/>
    </xf>
    <xf numFmtId="3" fontId="0" fillId="3" borderId="4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5" borderId="17" xfId="0" applyNumberFormat="1" applyFill="1" applyBorder="1" applyAlignment="1">
      <alignment/>
    </xf>
    <xf numFmtId="3" fontId="0" fillId="5" borderId="40" xfId="0" applyNumberFormat="1" applyFill="1" applyBorder="1" applyAlignment="1">
      <alignment/>
    </xf>
    <xf numFmtId="3" fontId="0" fillId="2" borderId="41" xfId="0" applyNumberFormat="1" applyFill="1" applyBorder="1" applyAlignment="1">
      <alignment horizontal="right"/>
    </xf>
    <xf numFmtId="3" fontId="0" fillId="2" borderId="25" xfId="0" applyNumberFormat="1" applyFill="1" applyBorder="1" applyAlignment="1">
      <alignment horizontal="right"/>
    </xf>
    <xf numFmtId="0" fontId="5" fillId="6" borderId="17" xfId="0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 wrapText="1" shrinkToFit="1"/>
    </xf>
    <xf numFmtId="3" fontId="0" fillId="5" borderId="16" xfId="0" applyNumberFormat="1" applyFill="1" applyBorder="1" applyAlignment="1">
      <alignment/>
    </xf>
    <xf numFmtId="3" fontId="0" fillId="5" borderId="10" xfId="0" applyNumberFormat="1" applyFill="1" applyBorder="1" applyAlignment="1">
      <alignment/>
    </xf>
    <xf numFmtId="0" fontId="5" fillId="5" borderId="44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0" fillId="0" borderId="0" xfId="0" applyFont="1" applyAlignment="1">
      <alignment horizontal="justify" wrapText="1" shrinkToFit="1"/>
    </xf>
    <xf numFmtId="0" fontId="5" fillId="0" borderId="15" xfId="0" applyFont="1" applyBorder="1" applyAlignment="1">
      <alignment horizontal="center" vertical="center" wrapText="1" shrinkToFit="1"/>
    </xf>
    <xf numFmtId="3" fontId="0" fillId="5" borderId="7" xfId="0" applyNumberFormat="1" applyFill="1" applyBorder="1" applyAlignment="1">
      <alignment/>
    </xf>
    <xf numFmtId="3" fontId="0" fillId="5" borderId="8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justify" vertical="center" wrapText="1" shrinkToFit="1"/>
    </xf>
    <xf numFmtId="0" fontId="5" fillId="0" borderId="0" xfId="0" applyFont="1" applyAlignment="1">
      <alignment horizontal="justify" vertical="center" wrapText="1" shrinkToFit="1"/>
    </xf>
    <xf numFmtId="0" fontId="5" fillId="0" borderId="0" xfId="0" applyFont="1" applyBorder="1" applyAlignment="1">
      <alignment horizontal="justify"/>
    </xf>
    <xf numFmtId="0" fontId="0" fillId="0" borderId="0" xfId="0" applyFont="1" applyAlignment="1">
      <alignment vertical="center" wrapText="1" shrinkToFit="1"/>
    </xf>
    <xf numFmtId="0" fontId="5" fillId="0" borderId="0" xfId="0" applyFont="1" applyAlignment="1">
      <alignment horizontal="justify"/>
    </xf>
    <xf numFmtId="0" fontId="4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Font="1" applyAlignment="1">
      <alignment horizontal="justify" vertical="top" wrapText="1" shrinkToFit="1"/>
    </xf>
    <xf numFmtId="0" fontId="5" fillId="2" borderId="1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3" fontId="0" fillId="2" borderId="7" xfId="0" applyNumberFormat="1" applyFill="1" applyBorder="1" applyAlignment="1">
      <alignment horizontal="right"/>
    </xf>
    <xf numFmtId="3" fontId="0" fillId="2" borderId="8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/>
    </xf>
    <xf numFmtId="3" fontId="0" fillId="5" borderId="40" xfId="0" applyNumberFormat="1" applyFill="1" applyBorder="1" applyAlignment="1">
      <alignment horizontal="right"/>
    </xf>
    <xf numFmtId="179" fontId="0" fillId="3" borderId="21" xfId="0" applyNumberFormat="1" applyFill="1" applyBorder="1" applyAlignment="1">
      <alignment horizontal="right"/>
    </xf>
    <xf numFmtId="179" fontId="0" fillId="3" borderId="10" xfId="0" applyNumberFormat="1" applyFill="1" applyBorder="1" applyAlignment="1">
      <alignment horizontal="right"/>
    </xf>
    <xf numFmtId="3" fontId="0" fillId="4" borderId="21" xfId="0" applyNumberFormat="1" applyFill="1" applyBorder="1" applyAlignment="1">
      <alignment horizontal="right"/>
    </xf>
    <xf numFmtId="3" fontId="0" fillId="4" borderId="10" xfId="0" applyNumberFormat="1" applyFill="1" applyBorder="1" applyAlignment="1">
      <alignment horizontal="right"/>
    </xf>
    <xf numFmtId="3" fontId="0" fillId="5" borderId="21" xfId="0" applyNumberFormat="1" applyFill="1" applyBorder="1" applyAlignment="1">
      <alignment horizontal="right"/>
    </xf>
    <xf numFmtId="3" fontId="0" fillId="5" borderId="10" xfId="0" applyNumberFormat="1" applyFill="1" applyBorder="1" applyAlignment="1">
      <alignment horizontal="right"/>
    </xf>
    <xf numFmtId="3" fontId="0" fillId="3" borderId="29" xfId="0" applyNumberFormat="1" applyFill="1" applyBorder="1" applyAlignment="1">
      <alignment horizontal="right"/>
    </xf>
    <xf numFmtId="3" fontId="0" fillId="3" borderId="31" xfId="0" applyNumberFormat="1" applyFill="1" applyBorder="1" applyAlignment="1">
      <alignment horizontal="right"/>
    </xf>
    <xf numFmtId="3" fontId="0" fillId="3" borderId="26" xfId="0" applyNumberFormat="1" applyFill="1" applyBorder="1" applyAlignment="1">
      <alignment horizontal="right"/>
    </xf>
    <xf numFmtId="3" fontId="0" fillId="4" borderId="29" xfId="0" applyNumberFormat="1" applyFill="1" applyBorder="1" applyAlignment="1">
      <alignment horizontal="right"/>
    </xf>
    <xf numFmtId="3" fontId="0" fillId="4" borderId="31" xfId="0" applyNumberFormat="1" applyFill="1" applyBorder="1" applyAlignment="1">
      <alignment horizontal="right"/>
    </xf>
    <xf numFmtId="3" fontId="0" fillId="4" borderId="26" xfId="0" applyNumberFormat="1" applyFill="1" applyBorder="1" applyAlignment="1">
      <alignment horizontal="right"/>
    </xf>
    <xf numFmtId="3" fontId="0" fillId="3" borderId="16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179" fontId="0" fillId="3" borderId="16" xfId="0" applyNumberFormat="1" applyFill="1" applyBorder="1" applyAlignment="1">
      <alignment horizontal="right"/>
    </xf>
    <xf numFmtId="3" fontId="0" fillId="3" borderId="17" xfId="0" applyNumberFormat="1" applyFill="1" applyBorder="1" applyAlignment="1">
      <alignment/>
    </xf>
    <xf numFmtId="0" fontId="5" fillId="3" borderId="44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3" fontId="0" fillId="4" borderId="29" xfId="0" applyNumberFormat="1" applyFill="1" applyBorder="1" applyAlignment="1">
      <alignment/>
    </xf>
    <xf numFmtId="3" fontId="0" fillId="4" borderId="26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0" fillId="3" borderId="26" xfId="0" applyNumberFormat="1" applyFill="1" applyBorder="1" applyAlignment="1">
      <alignment/>
    </xf>
    <xf numFmtId="3" fontId="0" fillId="5" borderId="29" xfId="0" applyNumberFormat="1" applyFill="1" applyBorder="1" applyAlignment="1">
      <alignment/>
    </xf>
    <xf numFmtId="3" fontId="0" fillId="5" borderId="26" xfId="0" applyNumberFormat="1" applyFill="1" applyBorder="1" applyAlignment="1">
      <alignment/>
    </xf>
    <xf numFmtId="0" fontId="0" fillId="6" borderId="38" xfId="0" applyFill="1" applyBorder="1" applyAlignment="1">
      <alignment wrapText="1"/>
    </xf>
    <xf numFmtId="0" fontId="0" fillId="6" borderId="26" xfId="0" applyFill="1" applyBorder="1" applyAlignment="1">
      <alignment wrapText="1"/>
    </xf>
    <xf numFmtId="3" fontId="0" fillId="5" borderId="7" xfId="0" applyNumberFormat="1" applyFill="1" applyBorder="1" applyAlignment="1">
      <alignment horizontal="right"/>
    </xf>
    <xf numFmtId="3" fontId="0" fillId="5" borderId="8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0" fillId="4" borderId="7" xfId="0" applyNumberFormat="1" applyFill="1" applyBorder="1" applyAlignment="1">
      <alignment horizontal="right"/>
    </xf>
    <xf numFmtId="3" fontId="0" fillId="4" borderId="8" xfId="0" applyNumberFormat="1" applyFill="1" applyBorder="1" applyAlignment="1">
      <alignment horizontal="right"/>
    </xf>
    <xf numFmtId="3" fontId="0" fillId="5" borderId="29" xfId="0" applyNumberFormat="1" applyFill="1" applyBorder="1" applyAlignment="1">
      <alignment horizontal="right"/>
    </xf>
    <xf numFmtId="3" fontId="0" fillId="5" borderId="31" xfId="0" applyNumberFormat="1" applyFill="1" applyBorder="1" applyAlignment="1">
      <alignment horizontal="right"/>
    </xf>
    <xf numFmtId="3" fontId="0" fillId="5" borderId="26" xfId="0" applyNumberFormat="1" applyFill="1" applyBorder="1" applyAlignment="1">
      <alignment horizontal="right"/>
    </xf>
    <xf numFmtId="0" fontId="0" fillId="2" borderId="29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3" fontId="0" fillId="3" borderId="40" xfId="0" applyNumberFormat="1" applyFill="1" applyBorder="1" applyAlignment="1">
      <alignment horizontal="right"/>
    </xf>
    <xf numFmtId="3" fontId="0" fillId="4" borderId="40" xfId="0" applyNumberFormat="1" applyFill="1" applyBorder="1" applyAlignment="1">
      <alignment horizontal="right"/>
    </xf>
    <xf numFmtId="0" fontId="5" fillId="2" borderId="17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3" fillId="0" borderId="18" xfId="0" applyFont="1" applyBorder="1" applyAlignment="1">
      <alignment horizontal="left" wrapText="1" shrinkToFit="1"/>
    </xf>
    <xf numFmtId="0" fontId="0" fillId="0" borderId="25" xfId="0" applyBorder="1" applyAlignment="1">
      <alignment horizontal="left" wrapText="1" shrinkToFit="1"/>
    </xf>
    <xf numFmtId="0" fontId="5" fillId="6" borderId="16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3" fontId="0" fillId="0" borderId="8" xfId="0" applyNumberFormat="1" applyBorder="1" applyAlignment="1">
      <alignment horizontal="right"/>
    </xf>
    <xf numFmtId="0" fontId="5" fillId="6" borderId="16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49" fontId="0" fillId="0" borderId="41" xfId="0" applyNumberFormat="1" applyBorder="1" applyAlignment="1">
      <alignment horizontal="left" wrapText="1" shrinkToFit="1"/>
    </xf>
    <xf numFmtId="49" fontId="0" fillId="0" borderId="25" xfId="0" applyNumberFormat="1" applyBorder="1" applyAlignment="1">
      <alignment horizontal="left" wrapText="1" shrinkToFit="1"/>
    </xf>
    <xf numFmtId="0" fontId="0" fillId="0" borderId="41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8" xfId="0" applyBorder="1" applyAlignment="1">
      <alignment horizontal="right"/>
    </xf>
    <xf numFmtId="49" fontId="0" fillId="2" borderId="41" xfId="0" applyNumberFormat="1" applyFill="1" applyBorder="1" applyAlignment="1">
      <alignment horizontal="left" wrapText="1" shrinkToFit="1"/>
    </xf>
    <xf numFmtId="49" fontId="0" fillId="2" borderId="25" xfId="0" applyNumberFormat="1" applyFill="1" applyBorder="1" applyAlignment="1">
      <alignment horizontal="left" wrapText="1" shrinkToFit="1"/>
    </xf>
    <xf numFmtId="0" fontId="0" fillId="0" borderId="41" xfId="0" applyBorder="1" applyAlignment="1">
      <alignment horizontal="left" wrapText="1" shrinkToFit="1"/>
    </xf>
    <xf numFmtId="0" fontId="0" fillId="0" borderId="18" xfId="0" applyBorder="1" applyAlignment="1">
      <alignment horizontal="left" wrapText="1" shrinkToFit="1"/>
    </xf>
    <xf numFmtId="3" fontId="0" fillId="0" borderId="41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2" borderId="18" xfId="0" applyFill="1" applyBorder="1" applyAlignment="1">
      <alignment horizontal="left" wrapText="1" shrinkToFit="1"/>
    </xf>
    <xf numFmtId="0" fontId="0" fillId="2" borderId="25" xfId="0" applyFill="1" applyBorder="1" applyAlignment="1">
      <alignment horizontal="left" wrapText="1" shrinkToFit="1"/>
    </xf>
    <xf numFmtId="3" fontId="0" fillId="2" borderId="18" xfId="0" applyNumberFormat="1" applyFill="1" applyBorder="1" applyAlignment="1">
      <alignment horizontal="right" wrapText="1"/>
    </xf>
    <xf numFmtId="3" fontId="0" fillId="2" borderId="25" xfId="0" applyNumberFormat="1" applyFill="1" applyBorder="1" applyAlignment="1">
      <alignment horizontal="right" wrapText="1"/>
    </xf>
    <xf numFmtId="0" fontId="0" fillId="2" borderId="18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5" fillId="2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2" borderId="41" xfId="0" applyFill="1" applyBorder="1" applyAlignment="1">
      <alignment horizontal="right"/>
    </xf>
    <xf numFmtId="49" fontId="0" fillId="0" borderId="18" xfId="0" applyNumberFormat="1" applyBorder="1" applyAlignment="1">
      <alignment horizontal="left" wrapText="1" shrinkToFit="1"/>
    </xf>
    <xf numFmtId="179" fontId="0" fillId="3" borderId="20" xfId="0" applyNumberFormat="1" applyFill="1" applyBorder="1" applyAlignment="1">
      <alignment horizontal="right"/>
    </xf>
    <xf numFmtId="179" fontId="0" fillId="3" borderId="17" xfId="0" applyNumberFormat="1" applyFill="1" applyBorder="1" applyAlignment="1">
      <alignment horizontal="right"/>
    </xf>
    <xf numFmtId="49" fontId="0" fillId="6" borderId="31" xfId="0" applyNumberFormat="1" applyFill="1" applyBorder="1" applyAlignment="1">
      <alignment horizontal="left" wrapText="1"/>
    </xf>
    <xf numFmtId="0" fontId="0" fillId="6" borderId="0" xfId="0" applyFill="1" applyBorder="1" applyAlignment="1">
      <alignment horizontal="left" vertical="center" wrapText="1" shrinkToFit="1"/>
    </xf>
    <xf numFmtId="3" fontId="0" fillId="2" borderId="40" xfId="0" applyNumberFormat="1" applyFill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0" fillId="0" borderId="41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/>
    </xf>
    <xf numFmtId="0" fontId="5" fillId="0" borderId="4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2" borderId="41" xfId="0" applyNumberForma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85" zoomScaleNormal="85" workbookViewId="0" topLeftCell="C25">
      <selection activeCell="U44" sqref="U44:U45"/>
    </sheetView>
  </sheetViews>
  <sheetFormatPr defaultColWidth="9.140625" defaultRowHeight="12.75"/>
  <cols>
    <col min="1" max="1" width="9.421875" style="4" customWidth="1"/>
    <col min="2" max="2" width="21.7109375" style="0" customWidth="1"/>
    <col min="3" max="3" width="16.57421875" style="0" customWidth="1"/>
    <col min="4" max="4" width="15.57421875" style="0" customWidth="1"/>
    <col min="5" max="5" width="15.28125" style="0" customWidth="1"/>
    <col min="6" max="6" width="4.140625" style="3" customWidth="1"/>
    <col min="7" max="7" width="10.00390625" style="4" customWidth="1"/>
    <col min="8" max="8" width="21.7109375" style="0" customWidth="1"/>
    <col min="9" max="9" width="20.7109375" style="0" hidden="1" customWidth="1"/>
    <col min="10" max="10" width="10.57421875" style="0" hidden="1" customWidth="1"/>
    <col min="11" max="11" width="11.28125" style="0" customWidth="1"/>
    <col min="12" max="12" width="10.57421875" style="0" hidden="1" customWidth="1"/>
    <col min="13" max="13" width="11.140625" style="0" customWidth="1"/>
    <col min="14" max="14" width="10.57421875" style="0" hidden="1" customWidth="1"/>
    <col min="15" max="15" width="11.421875" style="0" customWidth="1"/>
    <col min="16" max="16" width="13.00390625" style="0" customWidth="1"/>
    <col min="17" max="17" width="17.28125" style="0" customWidth="1"/>
    <col min="18" max="18" width="11.421875" style="0" customWidth="1"/>
    <col min="19" max="19" width="15.7109375" style="0" bestFit="1" customWidth="1"/>
    <col min="20" max="20" width="11.421875" style="0" customWidth="1"/>
    <col min="21" max="21" width="15.7109375" style="0" bestFit="1" customWidth="1"/>
  </cols>
  <sheetData>
    <row r="1" spans="1:21" ht="18">
      <c r="A1" s="250" t="s">
        <v>0</v>
      </c>
      <c r="B1" s="250"/>
      <c r="C1" s="250"/>
      <c r="D1" s="250"/>
      <c r="E1" s="250"/>
      <c r="F1" s="250"/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3" spans="1:8" ht="12.75">
      <c r="A3" s="1" t="s">
        <v>1</v>
      </c>
      <c r="B3" s="2"/>
      <c r="C3" s="216"/>
      <c r="E3" s="193"/>
      <c r="G3" s="252" t="s">
        <v>2</v>
      </c>
      <c r="H3" s="253"/>
    </row>
    <row r="4" ht="13.5" thickBot="1"/>
    <row r="5" spans="1:21" s="4" customFormat="1" ht="129" customHeight="1" thickBot="1">
      <c r="A5" s="5" t="s">
        <v>3</v>
      </c>
      <c r="B5" s="6" t="s">
        <v>4</v>
      </c>
      <c r="C5" s="6" t="s">
        <v>81</v>
      </c>
      <c r="D5" s="6" t="s">
        <v>5</v>
      </c>
      <c r="E5" s="7" t="s">
        <v>84</v>
      </c>
      <c r="F5" s="8"/>
      <c r="G5" s="5" t="s">
        <v>3</v>
      </c>
      <c r="H5" s="6" t="s">
        <v>6</v>
      </c>
      <c r="I5" s="7" t="s">
        <v>7</v>
      </c>
      <c r="J5" s="9"/>
      <c r="K5" s="234" t="s">
        <v>114</v>
      </c>
      <c r="L5" s="234"/>
      <c r="M5" s="234"/>
      <c r="N5" s="234"/>
      <c r="O5" s="240"/>
      <c r="P5" s="10"/>
      <c r="Q5" s="234" t="s">
        <v>83</v>
      </c>
      <c r="R5" s="234"/>
      <c r="S5" s="234"/>
      <c r="T5" s="234"/>
      <c r="U5" s="11"/>
    </row>
    <row r="6" spans="1:21" s="4" customFormat="1" ht="14.25" customHeight="1">
      <c r="A6" s="105"/>
      <c r="B6" s="119"/>
      <c r="C6" s="351" t="s">
        <v>80</v>
      </c>
      <c r="D6" s="104"/>
      <c r="E6" s="353" t="s">
        <v>80</v>
      </c>
      <c r="F6" s="8"/>
      <c r="G6" s="344"/>
      <c r="H6" s="345"/>
      <c r="I6" s="12"/>
      <c r="J6" s="13"/>
      <c r="K6" s="180" t="s">
        <v>111</v>
      </c>
      <c r="L6" s="181" t="s">
        <v>74</v>
      </c>
      <c r="M6" s="113" t="s">
        <v>112</v>
      </c>
      <c r="N6" s="182" t="s">
        <v>75</v>
      </c>
      <c r="O6" s="194" t="s">
        <v>113</v>
      </c>
      <c r="P6" s="279">
        <v>2008</v>
      </c>
      <c r="Q6" s="280"/>
      <c r="R6" s="281">
        <v>2009</v>
      </c>
      <c r="S6" s="282"/>
      <c r="T6" s="237">
        <v>2010</v>
      </c>
      <c r="U6" s="238"/>
    </row>
    <row r="7" spans="1:21" s="4" customFormat="1" ht="13.5" thickBot="1">
      <c r="A7" s="105"/>
      <c r="B7" s="120"/>
      <c r="C7" s="352"/>
      <c r="D7" s="104"/>
      <c r="E7" s="354"/>
      <c r="F7" s="8"/>
      <c r="G7" s="346"/>
      <c r="H7" s="347"/>
      <c r="I7" s="14"/>
      <c r="J7" s="15"/>
      <c r="K7" s="99" t="s">
        <v>80</v>
      </c>
      <c r="L7" s="179"/>
      <c r="M7" s="196" t="s">
        <v>80</v>
      </c>
      <c r="N7" s="179"/>
      <c r="O7" s="195" t="s">
        <v>80</v>
      </c>
      <c r="P7" s="16" t="s">
        <v>8</v>
      </c>
      <c r="Q7" s="17" t="s">
        <v>82</v>
      </c>
      <c r="R7" s="18" t="s">
        <v>8</v>
      </c>
      <c r="S7" s="19" t="s">
        <v>82</v>
      </c>
      <c r="T7" s="20" t="s">
        <v>8</v>
      </c>
      <c r="U7" s="21" t="s">
        <v>82</v>
      </c>
    </row>
    <row r="8" spans="1:21" s="4" customFormat="1" ht="13.5" thickBot="1">
      <c r="A8" s="107" t="s">
        <v>76</v>
      </c>
      <c r="B8" s="108"/>
      <c r="C8" s="186">
        <v>316</v>
      </c>
      <c r="D8" s="186">
        <v>4171</v>
      </c>
      <c r="E8" s="183">
        <v>1319300</v>
      </c>
      <c r="F8" s="8"/>
      <c r="G8" s="107" t="s">
        <v>76</v>
      </c>
      <c r="H8" s="109"/>
      <c r="I8" s="104"/>
      <c r="J8" s="106"/>
      <c r="K8" s="128">
        <v>345</v>
      </c>
      <c r="L8" s="129"/>
      <c r="M8" s="130">
        <v>345</v>
      </c>
      <c r="N8" s="131"/>
      <c r="O8" s="132">
        <v>375</v>
      </c>
      <c r="P8" s="122">
        <v>4500</v>
      </c>
      <c r="Q8" s="123">
        <f>P8*K8</f>
        <v>1552500</v>
      </c>
      <c r="R8" s="124">
        <v>4600</v>
      </c>
      <c r="S8" s="125">
        <f>R8*M8</f>
        <v>1587000</v>
      </c>
      <c r="T8" s="126">
        <v>4700</v>
      </c>
      <c r="U8" s="127">
        <f>T8*O8</f>
        <v>1762500</v>
      </c>
    </row>
    <row r="9" spans="1:21" s="4" customFormat="1" ht="13.5" thickBot="1">
      <c r="A9" s="107" t="s">
        <v>77</v>
      </c>
      <c r="B9" s="108"/>
      <c r="C9" s="186">
        <f>E9/D9</f>
        <v>3520.1047265987027</v>
      </c>
      <c r="D9" s="186">
        <v>2158</v>
      </c>
      <c r="E9" s="183">
        <v>7596386</v>
      </c>
      <c r="F9" s="8"/>
      <c r="G9" s="107" t="s">
        <v>77</v>
      </c>
      <c r="H9" s="110"/>
      <c r="I9" s="104"/>
      <c r="J9" s="106"/>
      <c r="K9" s="133">
        <v>3350</v>
      </c>
      <c r="L9" s="134"/>
      <c r="M9" s="135">
        <v>3400</v>
      </c>
      <c r="N9" s="138"/>
      <c r="O9" s="139">
        <v>3450</v>
      </c>
      <c r="P9" s="122">
        <v>5000</v>
      </c>
      <c r="Q9" s="123">
        <f>P9*K9</f>
        <v>16750000</v>
      </c>
      <c r="R9" s="124">
        <v>5250</v>
      </c>
      <c r="S9" s="125">
        <f>R9*M9</f>
        <v>17850000</v>
      </c>
      <c r="T9" s="126">
        <v>5500</v>
      </c>
      <c r="U9" s="127">
        <f>T9*O9</f>
        <v>18975000</v>
      </c>
    </row>
    <row r="10" spans="1:21" s="4" customFormat="1" ht="13.5" thickBot="1">
      <c r="A10" s="107" t="s">
        <v>78</v>
      </c>
      <c r="B10" s="108"/>
      <c r="C10" s="186">
        <f>E10/D10</f>
        <v>53.98561098567424</v>
      </c>
      <c r="D10" s="186">
        <v>205504</v>
      </c>
      <c r="E10" s="183">
        <v>11094259</v>
      </c>
      <c r="F10" s="8"/>
      <c r="G10" s="107" t="s">
        <v>78</v>
      </c>
      <c r="H10" s="110"/>
      <c r="I10" s="104"/>
      <c r="J10" s="106"/>
      <c r="K10" s="128">
        <v>55</v>
      </c>
      <c r="L10" s="129"/>
      <c r="M10" s="130">
        <v>57</v>
      </c>
      <c r="N10" s="131"/>
      <c r="O10" s="132">
        <v>60</v>
      </c>
      <c r="P10" s="122">
        <v>40000</v>
      </c>
      <c r="Q10" s="123">
        <f>P10*K10</f>
        <v>2200000</v>
      </c>
      <c r="R10" s="124">
        <v>38000</v>
      </c>
      <c r="S10" s="125">
        <f>R10*M10</f>
        <v>2166000</v>
      </c>
      <c r="T10" s="126">
        <v>35000</v>
      </c>
      <c r="U10" s="127">
        <f>T10*O10</f>
        <v>2100000</v>
      </c>
    </row>
    <row r="11" spans="1:21" s="4" customFormat="1" ht="26.25" thickBot="1">
      <c r="A11" s="5"/>
      <c r="B11" s="22"/>
      <c r="C11" s="187"/>
      <c r="D11" s="188"/>
      <c r="E11" s="184"/>
      <c r="F11" s="8"/>
      <c r="G11" s="23" t="s">
        <v>9</v>
      </c>
      <c r="H11" s="24" t="s">
        <v>10</v>
      </c>
      <c r="I11" s="25"/>
      <c r="J11" s="106"/>
      <c r="K11" s="140"/>
      <c r="L11" s="141"/>
      <c r="M11" s="142"/>
      <c r="N11" s="143"/>
      <c r="O11" s="144"/>
      <c r="P11" s="121"/>
      <c r="Q11" s="145">
        <v>40000000</v>
      </c>
      <c r="R11" s="102"/>
      <c r="S11" s="146">
        <v>40000000</v>
      </c>
      <c r="T11" s="143"/>
      <c r="U11" s="144">
        <v>40000000</v>
      </c>
    </row>
    <row r="12" spans="1:21" ht="93.75" customHeight="1" thickBot="1">
      <c r="A12" s="26" t="s">
        <v>11</v>
      </c>
      <c r="B12" s="27" t="s">
        <v>12</v>
      </c>
      <c r="C12" s="189">
        <f>E12/D12</f>
        <v>6580.841112570132</v>
      </c>
      <c r="D12" s="190">
        <v>8377</v>
      </c>
      <c r="E12" s="185">
        <v>55127706</v>
      </c>
      <c r="G12" s="26" t="s">
        <v>11</v>
      </c>
      <c r="H12" s="28" t="s">
        <v>13</v>
      </c>
      <c r="I12" s="29" t="s">
        <v>14</v>
      </c>
      <c r="J12" s="30">
        <v>1100</v>
      </c>
      <c r="K12" s="114">
        <f>1100*4</f>
        <v>4400</v>
      </c>
      <c r="L12" s="100">
        <v>1150</v>
      </c>
      <c r="M12" s="147">
        <f>L12*7</f>
        <v>8050</v>
      </c>
      <c r="N12" s="33">
        <v>1200</v>
      </c>
      <c r="O12" s="148">
        <f>N12*9</f>
        <v>10800</v>
      </c>
      <c r="P12" s="31">
        <v>9500</v>
      </c>
      <c r="Q12" s="149">
        <f>P12*K12</f>
        <v>41800000</v>
      </c>
      <c r="R12" s="32">
        <v>9250</v>
      </c>
      <c r="S12" s="150">
        <f>R12*M12</f>
        <v>74462500</v>
      </c>
      <c r="T12" s="33">
        <v>9250</v>
      </c>
      <c r="U12" s="151">
        <f>T12*O12</f>
        <v>99900000</v>
      </c>
    </row>
    <row r="13" spans="1:21" ht="66.75" customHeight="1" thickBot="1">
      <c r="A13" s="34" t="s">
        <v>15</v>
      </c>
      <c r="B13" s="35" t="s">
        <v>16</v>
      </c>
      <c r="C13" s="191">
        <f>E13/D13</f>
        <v>17795.96661237785</v>
      </c>
      <c r="D13" s="192">
        <v>1228</v>
      </c>
      <c r="E13" s="185">
        <v>21853447</v>
      </c>
      <c r="G13" s="26" t="s">
        <v>15</v>
      </c>
      <c r="H13" s="36" t="s">
        <v>17</v>
      </c>
      <c r="I13" s="37" t="s">
        <v>18</v>
      </c>
      <c r="J13" s="38">
        <v>550</v>
      </c>
      <c r="K13" s="152">
        <f>550*4</f>
        <v>2200</v>
      </c>
      <c r="L13" s="32">
        <v>575</v>
      </c>
      <c r="M13" s="153">
        <f>L13*4</f>
        <v>2300</v>
      </c>
      <c r="N13" s="41">
        <v>600</v>
      </c>
      <c r="O13" s="154">
        <f>N13*4</f>
        <v>2400</v>
      </c>
      <c r="P13" s="39">
        <v>1300</v>
      </c>
      <c r="Q13" s="155">
        <f>P13*K13</f>
        <v>2860000</v>
      </c>
      <c r="R13" s="40">
        <v>1350</v>
      </c>
      <c r="S13" s="136">
        <f>R13*M13</f>
        <v>3105000</v>
      </c>
      <c r="T13" s="41">
        <v>1400</v>
      </c>
      <c r="U13" s="156">
        <f>T13*O13</f>
        <v>3360000</v>
      </c>
    </row>
    <row r="14" spans="1:21" ht="12.75">
      <c r="A14" s="305"/>
      <c r="B14" s="318"/>
      <c r="C14" s="348"/>
      <c r="D14" s="320"/>
      <c r="E14" s="308"/>
      <c r="G14" s="233" t="s">
        <v>19</v>
      </c>
      <c r="H14" s="341" t="s">
        <v>20</v>
      </c>
      <c r="I14" s="43">
        <v>5130</v>
      </c>
      <c r="J14" s="44">
        <f>5130*4</f>
        <v>20520</v>
      </c>
      <c r="K14" s="285">
        <f>(J14+J15)/2</f>
        <v>20740</v>
      </c>
      <c r="L14" s="157">
        <f>5240*6</f>
        <v>31440</v>
      </c>
      <c r="M14" s="283">
        <f>(L14+L15)/2</f>
        <v>31800</v>
      </c>
      <c r="N14" s="158">
        <f>5360*8</f>
        <v>42880</v>
      </c>
      <c r="O14" s="287">
        <f>(N14+N15)/2</f>
        <v>43400</v>
      </c>
      <c r="P14" s="275">
        <v>4000</v>
      </c>
      <c r="Q14" s="285">
        <f>P14*K14</f>
        <v>82960000</v>
      </c>
      <c r="R14" s="243">
        <v>3900</v>
      </c>
      <c r="S14" s="283">
        <f>R14*M14</f>
        <v>124020000</v>
      </c>
      <c r="T14" s="235">
        <v>3800</v>
      </c>
      <c r="U14" s="287">
        <f>T14*O14</f>
        <v>164920000</v>
      </c>
    </row>
    <row r="15" spans="1:21" ht="13.5" thickBot="1">
      <c r="A15" s="307"/>
      <c r="B15" s="319"/>
      <c r="C15" s="349"/>
      <c r="D15" s="321"/>
      <c r="E15" s="315"/>
      <c r="G15" s="233"/>
      <c r="H15" s="341"/>
      <c r="I15" s="43">
        <v>5240</v>
      </c>
      <c r="J15" s="45">
        <f>5240*4</f>
        <v>20960</v>
      </c>
      <c r="K15" s="286"/>
      <c r="L15" s="159">
        <f>5360*6</f>
        <v>32160</v>
      </c>
      <c r="M15" s="284"/>
      <c r="N15" s="160">
        <f>5490*8</f>
        <v>43920</v>
      </c>
      <c r="O15" s="288"/>
      <c r="P15" s="276"/>
      <c r="Q15" s="286"/>
      <c r="R15" s="226"/>
      <c r="S15" s="284"/>
      <c r="T15" s="236"/>
      <c r="U15" s="288"/>
    </row>
    <row r="16" spans="1:21" ht="14.25" customHeight="1">
      <c r="A16" s="257" t="s">
        <v>21</v>
      </c>
      <c r="B16" s="46" t="s">
        <v>22</v>
      </c>
      <c r="C16" s="231">
        <f>E16/D16</f>
        <v>64375.60818936719</v>
      </c>
      <c r="D16" s="231">
        <v>10477</v>
      </c>
      <c r="E16" s="259">
        <v>674463247</v>
      </c>
      <c r="G16" s="255" t="s">
        <v>21</v>
      </c>
      <c r="H16" s="47" t="s">
        <v>23</v>
      </c>
      <c r="I16" s="48">
        <f>27140*16*0.35</f>
        <v>151984</v>
      </c>
      <c r="J16" s="277">
        <f>(I16+I17)/2</f>
        <v>173696</v>
      </c>
      <c r="K16" s="269">
        <f>(J16)/2.2</f>
        <v>78952.72727272726</v>
      </c>
      <c r="L16" s="162">
        <f>28931*16*0.35</f>
        <v>162013.59999999998</v>
      </c>
      <c r="M16" s="272">
        <f>(AVERAGE(L16:L17))/2.1</f>
        <v>88170.66666666666</v>
      </c>
      <c r="N16" s="163">
        <f>30726*16*0.35</f>
        <v>172065.59999999998</v>
      </c>
      <c r="O16" s="297">
        <f>(AVERAGE(N16:N17))/2.1</f>
        <v>93641.14285714286</v>
      </c>
      <c r="P16" s="278">
        <v>8000</v>
      </c>
      <c r="Q16" s="225">
        <f>P16*K16</f>
        <v>631621818.1818181</v>
      </c>
      <c r="R16" s="223">
        <v>7900</v>
      </c>
      <c r="S16" s="224">
        <f>R16*M16</f>
        <v>696548266.6666666</v>
      </c>
      <c r="T16" s="235">
        <v>7700</v>
      </c>
      <c r="U16" s="241">
        <f>T16*O16</f>
        <v>721036800</v>
      </c>
    </row>
    <row r="17" spans="1:21" ht="51" customHeight="1" thickBot="1">
      <c r="A17" s="258"/>
      <c r="B17" s="49" t="s">
        <v>24</v>
      </c>
      <c r="C17" s="232"/>
      <c r="D17" s="232"/>
      <c r="E17" s="260"/>
      <c r="G17" s="256"/>
      <c r="H17" s="50" t="s">
        <v>25</v>
      </c>
      <c r="I17" s="51">
        <f>27140*16*0.45</f>
        <v>195408</v>
      </c>
      <c r="J17" s="339"/>
      <c r="K17" s="271"/>
      <c r="L17" s="165">
        <f>28931*16*0.45</f>
        <v>208303.2</v>
      </c>
      <c r="M17" s="274"/>
      <c r="N17" s="166">
        <f>30726*16*0.45</f>
        <v>221227.2</v>
      </c>
      <c r="O17" s="292"/>
      <c r="P17" s="278"/>
      <c r="Q17" s="225"/>
      <c r="R17" s="223"/>
      <c r="S17" s="224"/>
      <c r="T17" s="236"/>
      <c r="U17" s="242"/>
    </row>
    <row r="18" spans="1:21" ht="12.75">
      <c r="A18" s="306"/>
      <c r="B18" s="310"/>
      <c r="C18" s="327"/>
      <c r="D18" s="320"/>
      <c r="E18" s="308"/>
      <c r="G18" s="314" t="s">
        <v>26</v>
      </c>
      <c r="H18" s="341" t="s">
        <v>27</v>
      </c>
      <c r="I18" s="342"/>
      <c r="J18" s="52">
        <f>5130*3</f>
        <v>15390</v>
      </c>
      <c r="K18" s="302">
        <f>(J18+J19)/2</f>
        <v>15555</v>
      </c>
      <c r="L18" s="168">
        <f>5240*3</f>
        <v>15720</v>
      </c>
      <c r="M18" s="273">
        <f>(L18+L19)/2</f>
        <v>15900</v>
      </c>
      <c r="N18" s="169">
        <f>5360*3</f>
        <v>16080</v>
      </c>
      <c r="O18" s="262">
        <f>(N18+N19)/2</f>
        <v>16275</v>
      </c>
      <c r="P18" s="275">
        <v>3000</v>
      </c>
      <c r="Q18" s="222">
        <f>P18*K18</f>
        <v>46665000</v>
      </c>
      <c r="R18" s="243">
        <v>2800</v>
      </c>
      <c r="S18" s="227">
        <f>R18*M18</f>
        <v>44520000</v>
      </c>
      <c r="T18" s="235">
        <v>2600</v>
      </c>
      <c r="U18" s="241">
        <f>T18*O18</f>
        <v>42315000</v>
      </c>
    </row>
    <row r="19" spans="1:21" ht="25.5" customHeight="1" thickBot="1">
      <c r="A19" s="336"/>
      <c r="B19" s="311"/>
      <c r="C19" s="350"/>
      <c r="D19" s="321"/>
      <c r="E19" s="315"/>
      <c r="G19" s="314"/>
      <c r="H19" s="341"/>
      <c r="I19" s="342"/>
      <c r="J19" s="54">
        <f>5240*3</f>
        <v>15720</v>
      </c>
      <c r="K19" s="302"/>
      <c r="L19" s="117">
        <f>5360*3</f>
        <v>16080</v>
      </c>
      <c r="M19" s="273"/>
      <c r="N19" s="111">
        <f>5490*3</f>
        <v>16470</v>
      </c>
      <c r="O19" s="262"/>
      <c r="P19" s="276"/>
      <c r="Q19" s="261"/>
      <c r="R19" s="226"/>
      <c r="S19" s="228"/>
      <c r="T19" s="236"/>
      <c r="U19" s="242"/>
    </row>
    <row r="20" spans="1:21" ht="13.5" customHeight="1">
      <c r="A20" s="257" t="s">
        <v>28</v>
      </c>
      <c r="B20" s="55" t="s">
        <v>29</v>
      </c>
      <c r="C20" s="231">
        <f>E20/D20</f>
        <v>76303.91948424069</v>
      </c>
      <c r="D20" s="231">
        <v>3490</v>
      </c>
      <c r="E20" s="259">
        <v>266300679</v>
      </c>
      <c r="G20" s="255" t="s">
        <v>28</v>
      </c>
      <c r="H20" s="56" t="s">
        <v>30</v>
      </c>
      <c r="I20" s="57">
        <f>27140*0.2*6</f>
        <v>32568</v>
      </c>
      <c r="J20" s="340">
        <f>(I20+I21)/2</f>
        <v>40710</v>
      </c>
      <c r="K20" s="293">
        <f>40710/2</f>
        <v>20355</v>
      </c>
      <c r="L20" s="162">
        <f>28931*0.2*9</f>
        <v>52075.8</v>
      </c>
      <c r="M20" s="272">
        <f>(AVERAGE(L20:L21))/2</f>
        <v>32547.375</v>
      </c>
      <c r="N20" s="163">
        <f>30726*0.2*9</f>
        <v>55306.8</v>
      </c>
      <c r="O20" s="291">
        <f>(AVERAGE(N20:N21))/2</f>
        <v>34566.75</v>
      </c>
      <c r="P20" s="278">
        <v>3350</v>
      </c>
      <c r="Q20" s="225">
        <f>P20*K20</f>
        <v>68189250</v>
      </c>
      <c r="R20" s="243">
        <v>3200</v>
      </c>
      <c r="S20" s="227">
        <f>R20*M20</f>
        <v>104151600</v>
      </c>
      <c r="T20" s="235">
        <v>3000</v>
      </c>
      <c r="U20" s="241">
        <f>T20*O20</f>
        <v>103700250</v>
      </c>
    </row>
    <row r="21" spans="1:21" ht="48.75" customHeight="1" thickBot="1">
      <c r="A21" s="258"/>
      <c r="B21" s="49" t="s">
        <v>24</v>
      </c>
      <c r="C21" s="232"/>
      <c r="D21" s="232"/>
      <c r="E21" s="260"/>
      <c r="G21" s="256"/>
      <c r="H21" s="50" t="s">
        <v>31</v>
      </c>
      <c r="I21" s="59">
        <f>27140*0.3*6</f>
        <v>48852</v>
      </c>
      <c r="J21" s="264"/>
      <c r="K21" s="294"/>
      <c r="L21" s="165">
        <f>28931*0.3*9</f>
        <v>78113.7</v>
      </c>
      <c r="M21" s="296"/>
      <c r="N21" s="166">
        <f>30726*0.3*9</f>
        <v>82960.2</v>
      </c>
      <c r="O21" s="292"/>
      <c r="P21" s="278"/>
      <c r="Q21" s="225"/>
      <c r="R21" s="226"/>
      <c r="S21" s="228"/>
      <c r="T21" s="236"/>
      <c r="U21" s="242"/>
    </row>
    <row r="22" spans="1:21" ht="64.5" thickBot="1">
      <c r="A22" s="305"/>
      <c r="B22" s="325"/>
      <c r="C22" s="327"/>
      <c r="D22" s="320"/>
      <c r="E22" s="308"/>
      <c r="G22" s="53" t="s">
        <v>32</v>
      </c>
      <c r="H22" s="60" t="s">
        <v>33</v>
      </c>
      <c r="I22" s="61">
        <f>20074*0.5</f>
        <v>10037</v>
      </c>
      <c r="J22" s="62">
        <f>(I22)/2</f>
        <v>5018.5</v>
      </c>
      <c r="K22" s="167">
        <f>20074*0.25*6</f>
        <v>30111</v>
      </c>
      <c r="L22" s="170">
        <f>21399*0.25</f>
        <v>5349.75</v>
      </c>
      <c r="M22" s="171">
        <f>21399*0.25*9</f>
        <v>48147.75</v>
      </c>
      <c r="N22" s="172">
        <f>22726*0.25</f>
        <v>5681.5</v>
      </c>
      <c r="O22" s="116">
        <f>22726*0.25*9</f>
        <v>51133.5</v>
      </c>
      <c r="P22" s="31">
        <v>1500</v>
      </c>
      <c r="Q22" s="149">
        <f>P22*K22</f>
        <v>45166500</v>
      </c>
      <c r="R22" s="32">
        <v>1400</v>
      </c>
      <c r="S22" s="150">
        <f aca="true" t="shared" si="0" ref="S22:S27">R22*M22</f>
        <v>67406850</v>
      </c>
      <c r="T22" s="63">
        <v>1300</v>
      </c>
      <c r="U22" s="151">
        <f aca="true" t="shared" si="1" ref="U22:U27">T22*O22</f>
        <v>66473550</v>
      </c>
    </row>
    <row r="23" spans="1:21" ht="27" customHeight="1">
      <c r="A23" s="306"/>
      <c r="B23" s="326"/>
      <c r="C23" s="328"/>
      <c r="D23" s="322"/>
      <c r="E23" s="309"/>
      <c r="G23" s="312" t="s">
        <v>34</v>
      </c>
      <c r="H23" s="64" t="s">
        <v>35</v>
      </c>
      <c r="I23" s="65"/>
      <c r="J23" s="66">
        <f>27140*0.25</f>
        <v>6785</v>
      </c>
      <c r="K23" s="173">
        <f>J23*6</f>
        <v>40710</v>
      </c>
      <c r="L23" s="162">
        <f>28931*0.5</f>
        <v>14465.5</v>
      </c>
      <c r="M23" s="295">
        <f>(L23+L24)/4*9</f>
        <v>58585.275</v>
      </c>
      <c r="N23" s="163">
        <f>30726*0.5</f>
        <v>15363</v>
      </c>
      <c r="O23" s="291">
        <f>(N23+N24)/4*9</f>
        <v>62220.15</v>
      </c>
      <c r="P23" s="278">
        <v>1500</v>
      </c>
      <c r="Q23" s="225">
        <f>P23*K23</f>
        <v>61065000</v>
      </c>
      <c r="R23" s="243">
        <v>1600</v>
      </c>
      <c r="S23" s="227">
        <f t="shared" si="0"/>
        <v>93736440</v>
      </c>
      <c r="T23" s="235">
        <v>1650</v>
      </c>
      <c r="U23" s="241">
        <f t="shared" si="1"/>
        <v>102663247.5</v>
      </c>
    </row>
    <row r="24" spans="1:21" ht="27" customHeight="1" thickBot="1">
      <c r="A24" s="306"/>
      <c r="B24" s="326"/>
      <c r="C24" s="328"/>
      <c r="D24" s="322"/>
      <c r="E24" s="309"/>
      <c r="G24" s="313"/>
      <c r="H24" s="67" t="s">
        <v>36</v>
      </c>
      <c r="I24" s="68"/>
      <c r="J24" s="69"/>
      <c r="K24" s="164"/>
      <c r="L24" s="165">
        <f>28931*0.4</f>
        <v>11572.400000000001</v>
      </c>
      <c r="M24" s="296"/>
      <c r="N24" s="166">
        <f>30726*0.4</f>
        <v>12290.400000000001</v>
      </c>
      <c r="O24" s="292"/>
      <c r="P24" s="278"/>
      <c r="Q24" s="225"/>
      <c r="R24" s="226"/>
      <c r="S24" s="228">
        <f t="shared" si="0"/>
        <v>0</v>
      </c>
      <c r="T24" s="236"/>
      <c r="U24" s="242">
        <f t="shared" si="1"/>
        <v>0</v>
      </c>
    </row>
    <row r="25" spans="1:21" ht="12.75" customHeight="1">
      <c r="A25" s="257" t="s">
        <v>37</v>
      </c>
      <c r="B25" s="323" t="s">
        <v>79</v>
      </c>
      <c r="C25" s="355">
        <f>E25/D25</f>
        <v>9532.774874163966</v>
      </c>
      <c r="D25" s="231">
        <v>14503</v>
      </c>
      <c r="E25" s="259">
        <v>138253834</v>
      </c>
      <c r="G25" s="255" t="s">
        <v>37</v>
      </c>
      <c r="H25" s="70" t="s">
        <v>38</v>
      </c>
      <c r="I25" s="71">
        <f>5130*4</f>
        <v>20520</v>
      </c>
      <c r="J25" s="277"/>
      <c r="K25" s="302">
        <f>(I25+I26)/2</f>
        <v>20740</v>
      </c>
      <c r="L25" s="168">
        <f>5240*5</f>
        <v>26200</v>
      </c>
      <c r="M25" s="303">
        <f>(L25+L26)/2</f>
        <v>26500</v>
      </c>
      <c r="N25" s="169">
        <f>5360*5</f>
        <v>26800</v>
      </c>
      <c r="O25" s="262">
        <f>(N25+N26)/2</f>
        <v>27125</v>
      </c>
      <c r="P25" s="275">
        <v>6750</v>
      </c>
      <c r="Q25" s="222">
        <f>P25*K25</f>
        <v>139995000</v>
      </c>
      <c r="R25" s="243">
        <v>6500</v>
      </c>
      <c r="S25" s="227">
        <f t="shared" si="0"/>
        <v>172250000</v>
      </c>
      <c r="T25" s="235">
        <v>6000</v>
      </c>
      <c r="U25" s="241">
        <f t="shared" si="1"/>
        <v>162750000</v>
      </c>
    </row>
    <row r="26" spans="1:21" ht="12.75" customHeight="1" thickBot="1">
      <c r="A26" s="258"/>
      <c r="B26" s="324"/>
      <c r="C26" s="332"/>
      <c r="D26" s="232"/>
      <c r="E26" s="260"/>
      <c r="G26" s="335"/>
      <c r="H26" s="70" t="s">
        <v>39</v>
      </c>
      <c r="I26" s="72">
        <f>5240*4</f>
        <v>20960</v>
      </c>
      <c r="J26" s="264"/>
      <c r="K26" s="302"/>
      <c r="L26" s="117">
        <f>5360*5</f>
        <v>26800</v>
      </c>
      <c r="M26" s="303"/>
      <c r="N26" s="111">
        <f>5490*5</f>
        <v>27450</v>
      </c>
      <c r="O26" s="262"/>
      <c r="P26" s="276"/>
      <c r="Q26" s="261"/>
      <c r="R26" s="226"/>
      <c r="S26" s="228">
        <f t="shared" si="0"/>
        <v>0</v>
      </c>
      <c r="T26" s="236"/>
      <c r="U26" s="242">
        <f t="shared" si="1"/>
        <v>0</v>
      </c>
    </row>
    <row r="27" spans="1:21" ht="26.25" customHeight="1">
      <c r="A27" s="305"/>
      <c r="B27" s="318"/>
      <c r="C27" s="327"/>
      <c r="D27" s="327"/>
      <c r="E27" s="308"/>
      <c r="G27" s="316" t="s">
        <v>40</v>
      </c>
      <c r="H27" s="73" t="s">
        <v>41</v>
      </c>
      <c r="I27" s="74">
        <f>27140*0.25</f>
        <v>6785</v>
      </c>
      <c r="J27" s="66">
        <f>(I27+I28)*6/2</f>
        <v>48852</v>
      </c>
      <c r="K27" s="293">
        <f>(J27)/2</f>
        <v>24426</v>
      </c>
      <c r="L27" s="162">
        <f>28931*0.25</f>
        <v>7232.75</v>
      </c>
      <c r="M27" s="295">
        <f>(L27+L28)/4*9</f>
        <v>39056.85</v>
      </c>
      <c r="N27" s="163">
        <f>30726*0.25</f>
        <v>7681.5</v>
      </c>
      <c r="O27" s="291">
        <f>(N27+N28)/4*9</f>
        <v>41480.1</v>
      </c>
      <c r="P27" s="278">
        <v>2000</v>
      </c>
      <c r="Q27" s="225">
        <f>P27*K27</f>
        <v>48852000</v>
      </c>
      <c r="R27" s="243">
        <v>2500</v>
      </c>
      <c r="S27" s="227">
        <f t="shared" si="0"/>
        <v>97642125</v>
      </c>
      <c r="T27" s="235">
        <v>3000</v>
      </c>
      <c r="U27" s="241">
        <f t="shared" si="1"/>
        <v>124440300</v>
      </c>
    </row>
    <row r="28" spans="1:21" ht="26.25" customHeight="1" thickBot="1">
      <c r="A28" s="306"/>
      <c r="B28" s="338"/>
      <c r="C28" s="328"/>
      <c r="D28" s="328"/>
      <c r="E28" s="309"/>
      <c r="G28" s="317"/>
      <c r="H28" s="75" t="s">
        <v>42</v>
      </c>
      <c r="I28" s="76">
        <f>27140*0.35</f>
        <v>9499</v>
      </c>
      <c r="J28" s="54"/>
      <c r="K28" s="294"/>
      <c r="L28" s="165">
        <f>28931*0.35</f>
        <v>10125.849999999999</v>
      </c>
      <c r="M28" s="296"/>
      <c r="N28" s="166">
        <f>30726*0.35</f>
        <v>10754.099999999999</v>
      </c>
      <c r="O28" s="292"/>
      <c r="P28" s="278"/>
      <c r="Q28" s="225"/>
      <c r="R28" s="226"/>
      <c r="S28" s="228"/>
      <c r="T28" s="236"/>
      <c r="U28" s="242"/>
    </row>
    <row r="29" spans="1:21" ht="30.75" customHeight="1" thickBot="1">
      <c r="A29" s="26" t="s">
        <v>43</v>
      </c>
      <c r="B29" s="77" t="s">
        <v>44</v>
      </c>
      <c r="C29" s="190">
        <v>5021</v>
      </c>
      <c r="D29" s="190">
        <v>218071</v>
      </c>
      <c r="E29" s="185">
        <v>1094856385</v>
      </c>
      <c r="G29" s="26" t="s">
        <v>43</v>
      </c>
      <c r="H29" s="217" t="s">
        <v>45</v>
      </c>
      <c r="I29" s="218" t="s">
        <v>46</v>
      </c>
      <c r="J29" s="89">
        <f>27140*0.1</f>
        <v>2714</v>
      </c>
      <c r="K29" s="219">
        <f>J29*5</f>
        <v>13570</v>
      </c>
      <c r="L29" s="177">
        <f>28931*0.1</f>
        <v>2893.1000000000004</v>
      </c>
      <c r="M29" s="220">
        <f>L29*6</f>
        <v>17358.600000000002</v>
      </c>
      <c r="N29" s="178">
        <f>30726*0.1</f>
        <v>3072.6000000000004</v>
      </c>
      <c r="O29" s="221">
        <f>N29*6</f>
        <v>18435.600000000002</v>
      </c>
      <c r="P29" s="31">
        <v>34000</v>
      </c>
      <c r="Q29" s="149">
        <f>P29*K29</f>
        <v>461380000</v>
      </c>
      <c r="R29" s="32">
        <v>25000</v>
      </c>
      <c r="S29" s="150">
        <f>R29*M29</f>
        <v>433965000.00000006</v>
      </c>
      <c r="T29" s="41">
        <v>18000</v>
      </c>
      <c r="U29" s="156">
        <f>T29*O29</f>
        <v>331840800.00000006</v>
      </c>
    </row>
    <row r="30" spans="1:21" ht="28.5" customHeight="1">
      <c r="A30" s="305"/>
      <c r="B30" s="325"/>
      <c r="C30" s="327"/>
      <c r="D30" s="320"/>
      <c r="E30" s="308"/>
      <c r="G30" s="316" t="s">
        <v>47</v>
      </c>
      <c r="H30" s="78" t="s">
        <v>45</v>
      </c>
      <c r="I30" s="79" t="s">
        <v>46</v>
      </c>
      <c r="J30" s="66">
        <f>27140*0.1</f>
        <v>2714</v>
      </c>
      <c r="K30" s="269">
        <f>(J30*6)+J31</f>
        <v>39684</v>
      </c>
      <c r="L30" s="162">
        <f>28931*0.1</f>
        <v>2893.1000000000004</v>
      </c>
      <c r="M30" s="272">
        <f>(L30*6)+L31</f>
        <v>41358.600000000006</v>
      </c>
      <c r="N30" s="163">
        <f>30726*0.1</f>
        <v>3072.6000000000004</v>
      </c>
      <c r="O30" s="297">
        <f>(N30*6)+N31</f>
        <v>43035.600000000006</v>
      </c>
      <c r="P30" s="275">
        <v>6500</v>
      </c>
      <c r="Q30" s="222">
        <f>P30*K30</f>
        <v>257946000</v>
      </c>
      <c r="R30" s="243">
        <v>8250</v>
      </c>
      <c r="S30" s="227">
        <f>R30*M30</f>
        <v>341208450.00000006</v>
      </c>
      <c r="T30" s="235">
        <v>8000</v>
      </c>
      <c r="U30" s="241">
        <f>T30*O30</f>
        <v>344284800.00000006</v>
      </c>
    </row>
    <row r="31" spans="1:21" ht="14.25" customHeight="1">
      <c r="A31" s="306"/>
      <c r="B31" s="326"/>
      <c r="C31" s="328"/>
      <c r="D31" s="322"/>
      <c r="E31" s="309"/>
      <c r="G31" s="233"/>
      <c r="H31" s="289" t="s">
        <v>48</v>
      </c>
      <c r="I31" s="80"/>
      <c r="J31" s="263">
        <f>3900*6</f>
        <v>23400</v>
      </c>
      <c r="K31" s="270"/>
      <c r="L31" s="265">
        <f>4000*6</f>
        <v>24000</v>
      </c>
      <c r="M31" s="273"/>
      <c r="N31" s="267">
        <f>4100*6</f>
        <v>24600</v>
      </c>
      <c r="O31" s="298"/>
      <c r="P31" s="278"/>
      <c r="Q31" s="225"/>
      <c r="R31" s="223"/>
      <c r="S31" s="224"/>
      <c r="T31" s="229"/>
      <c r="U31" s="230"/>
    </row>
    <row r="32" spans="1:21" ht="12.75" customHeight="1" thickBot="1">
      <c r="A32" s="307"/>
      <c r="B32" s="311"/>
      <c r="C32" s="350"/>
      <c r="D32" s="321"/>
      <c r="E32" s="315"/>
      <c r="G32" s="317"/>
      <c r="H32" s="290"/>
      <c r="I32" s="82"/>
      <c r="J32" s="264"/>
      <c r="K32" s="271"/>
      <c r="L32" s="266"/>
      <c r="M32" s="274"/>
      <c r="N32" s="268"/>
      <c r="O32" s="299"/>
      <c r="P32" s="276"/>
      <c r="Q32" s="261"/>
      <c r="R32" s="226"/>
      <c r="S32" s="228"/>
      <c r="T32" s="236"/>
      <c r="U32" s="242"/>
    </row>
    <row r="33" spans="1:21" ht="13.5" customHeight="1">
      <c r="A33" s="257" t="s">
        <v>49</v>
      </c>
      <c r="B33" s="55" t="s">
        <v>50</v>
      </c>
      <c r="C33" s="231"/>
      <c r="D33" s="231">
        <v>7822</v>
      </c>
      <c r="E33" s="231">
        <v>20348322</v>
      </c>
      <c r="G33" s="257" t="s">
        <v>49</v>
      </c>
      <c r="H33" s="300" t="s">
        <v>51</v>
      </c>
      <c r="I33" s="83" t="s">
        <v>46</v>
      </c>
      <c r="J33" s="66">
        <v>1500</v>
      </c>
      <c r="K33" s="269">
        <f>J33*6</f>
        <v>9000</v>
      </c>
      <c r="L33" s="162">
        <v>1500</v>
      </c>
      <c r="M33" s="272">
        <f>J33*6</f>
        <v>9000</v>
      </c>
      <c r="N33" s="163">
        <v>1500</v>
      </c>
      <c r="O33" s="297">
        <f>J33*6</f>
        <v>9000</v>
      </c>
      <c r="P33" s="275">
        <v>3350</v>
      </c>
      <c r="Q33" s="222">
        <f>P33*K33</f>
        <v>30150000</v>
      </c>
      <c r="R33" s="243">
        <v>3400</v>
      </c>
      <c r="S33" s="227">
        <f>R33*M33</f>
        <v>30600000</v>
      </c>
      <c r="T33" s="235">
        <v>3450</v>
      </c>
      <c r="U33" s="241">
        <f>T33*O33</f>
        <v>31050000</v>
      </c>
    </row>
    <row r="34" spans="1:21" ht="47.25" customHeight="1" thickBot="1">
      <c r="A34" s="258"/>
      <c r="B34" s="84" t="s">
        <v>52</v>
      </c>
      <c r="C34" s="232"/>
      <c r="D34" s="232"/>
      <c r="E34" s="232"/>
      <c r="G34" s="258"/>
      <c r="H34" s="301"/>
      <c r="I34" s="85"/>
      <c r="J34" s="58"/>
      <c r="K34" s="271"/>
      <c r="L34" s="170"/>
      <c r="M34" s="274"/>
      <c r="N34" s="172"/>
      <c r="O34" s="299"/>
      <c r="P34" s="276"/>
      <c r="Q34" s="261"/>
      <c r="R34" s="226"/>
      <c r="S34" s="228"/>
      <c r="T34" s="236"/>
      <c r="U34" s="242"/>
    </row>
    <row r="35" spans="1:21" ht="13.5" thickBot="1">
      <c r="A35" s="305"/>
      <c r="B35" s="325"/>
      <c r="C35" s="327"/>
      <c r="D35" s="320"/>
      <c r="E35" s="308"/>
      <c r="G35" s="86" t="s">
        <v>53</v>
      </c>
      <c r="H35" s="87" t="s">
        <v>54</v>
      </c>
      <c r="I35" s="88" t="s">
        <v>55</v>
      </c>
      <c r="J35" s="89">
        <v>30000</v>
      </c>
      <c r="K35" s="174">
        <v>30000</v>
      </c>
      <c r="L35" s="177">
        <v>30000</v>
      </c>
      <c r="M35" s="175">
        <v>30000</v>
      </c>
      <c r="N35" s="178">
        <v>30000</v>
      </c>
      <c r="O35" s="176">
        <v>30000</v>
      </c>
      <c r="P35" s="161">
        <v>30</v>
      </c>
      <c r="Q35" s="115">
        <f>P35*K35</f>
        <v>900000</v>
      </c>
      <c r="R35" s="32">
        <v>40</v>
      </c>
      <c r="S35" s="150">
        <f>R35*M35</f>
        <v>1200000</v>
      </c>
      <c r="T35" s="41">
        <v>50</v>
      </c>
      <c r="U35" s="156">
        <f>T35*O35</f>
        <v>1500000</v>
      </c>
    </row>
    <row r="36" spans="1:21" ht="26.25" thickBot="1">
      <c r="A36" s="306"/>
      <c r="B36" s="326"/>
      <c r="C36" s="328"/>
      <c r="D36" s="322"/>
      <c r="E36" s="309"/>
      <c r="G36" s="42" t="s">
        <v>56</v>
      </c>
      <c r="H36" s="90" t="s">
        <v>57</v>
      </c>
      <c r="I36" s="65" t="s">
        <v>46</v>
      </c>
      <c r="J36" s="66">
        <v>5750</v>
      </c>
      <c r="K36" s="174">
        <f>J36*0.75*6</f>
        <v>25875</v>
      </c>
      <c r="L36" s="162">
        <v>5900</v>
      </c>
      <c r="M36" s="175">
        <f>L36*0.75*9</f>
        <v>39825</v>
      </c>
      <c r="N36" s="163">
        <v>6150</v>
      </c>
      <c r="O36" s="176">
        <f>N36*0.75*9</f>
        <v>41512.5</v>
      </c>
      <c r="P36" s="39">
        <v>45</v>
      </c>
      <c r="Q36" s="155">
        <f>P36*K36</f>
        <v>1164375</v>
      </c>
      <c r="R36" s="40">
        <v>45</v>
      </c>
      <c r="S36" s="136">
        <f>R36*M36</f>
        <v>1792125</v>
      </c>
      <c r="T36" s="63">
        <v>45</v>
      </c>
      <c r="U36" s="151">
        <f>T36*O36</f>
        <v>1868062.5</v>
      </c>
    </row>
    <row r="37" spans="1:21" ht="14.25" customHeight="1">
      <c r="A37" s="257" t="s">
        <v>58</v>
      </c>
      <c r="B37" s="55" t="s">
        <v>22</v>
      </c>
      <c r="C37" s="231">
        <f>E37/D37</f>
        <v>179021.67868338557</v>
      </c>
      <c r="D37" s="337">
        <v>638</v>
      </c>
      <c r="E37" s="259">
        <v>114215831</v>
      </c>
      <c r="G37" s="257" t="s">
        <v>58</v>
      </c>
      <c r="H37" s="91" t="s">
        <v>59</v>
      </c>
      <c r="I37" s="71">
        <f>27140*16*0.55</f>
        <v>238832.00000000003</v>
      </c>
      <c r="J37" s="277">
        <f>(I37+I38)/2</f>
        <v>260544</v>
      </c>
      <c r="K37" s="293">
        <f>(J37)/2</f>
        <v>130272</v>
      </c>
      <c r="L37" s="162">
        <f>28931*16*0.55</f>
        <v>254592.80000000002</v>
      </c>
      <c r="M37" s="295">
        <f>(L37+L38)/4</f>
        <v>138868.80000000002</v>
      </c>
      <c r="N37" s="163">
        <f>30726*16*0.55</f>
        <v>270388.80000000005</v>
      </c>
      <c r="O37" s="291">
        <f>(AVERAGE(N37:N38))/2</f>
        <v>147484.80000000002</v>
      </c>
      <c r="P37" s="275">
        <v>500</v>
      </c>
      <c r="Q37" s="222">
        <f>P37*K37</f>
        <v>65136000</v>
      </c>
      <c r="R37" s="243">
        <v>450</v>
      </c>
      <c r="S37" s="227">
        <f>R37*M37</f>
        <v>62490960.00000001</v>
      </c>
      <c r="T37" s="235">
        <v>400</v>
      </c>
      <c r="U37" s="241">
        <f>T37*O37</f>
        <v>58993920.00000001</v>
      </c>
    </row>
    <row r="38" spans="1:21" ht="50.25" customHeight="1" thickBot="1">
      <c r="A38" s="258"/>
      <c r="B38" s="92" t="s">
        <v>24</v>
      </c>
      <c r="C38" s="232"/>
      <c r="D38" s="334"/>
      <c r="E38" s="260"/>
      <c r="G38" s="258"/>
      <c r="H38" s="93" t="s">
        <v>60</v>
      </c>
      <c r="I38" s="94">
        <f>27140*16*0.65</f>
        <v>282256</v>
      </c>
      <c r="J38" s="264"/>
      <c r="K38" s="294"/>
      <c r="L38" s="165">
        <f>28931*16*0.65</f>
        <v>300882.4</v>
      </c>
      <c r="M38" s="296"/>
      <c r="N38" s="166">
        <f>30726*16*0.65</f>
        <v>319550.4</v>
      </c>
      <c r="O38" s="292"/>
      <c r="P38" s="276"/>
      <c r="Q38" s="261"/>
      <c r="R38" s="226"/>
      <c r="S38" s="228"/>
      <c r="T38" s="236"/>
      <c r="U38" s="242"/>
    </row>
    <row r="39" spans="1:21" ht="26.25" customHeight="1">
      <c r="A39" s="305"/>
      <c r="B39" s="325"/>
      <c r="C39" s="327"/>
      <c r="D39" s="320"/>
      <c r="E39" s="308"/>
      <c r="G39" s="233" t="s">
        <v>61</v>
      </c>
      <c r="H39" s="95" t="s">
        <v>62</v>
      </c>
      <c r="I39" s="65"/>
      <c r="J39" s="52">
        <f>27140*0.0072</f>
        <v>195.408</v>
      </c>
      <c r="K39" s="302">
        <f>(J39+J40)*8/2</f>
        <v>1172.4479999999999</v>
      </c>
      <c r="L39" s="168">
        <f>28931*0.0072</f>
        <v>208.3032</v>
      </c>
      <c r="M39" s="303">
        <f>(L39+L40)*12/2</f>
        <v>1874.7287999999999</v>
      </c>
      <c r="N39" s="169">
        <f>30726*0.0072</f>
        <v>221.22719999999998</v>
      </c>
      <c r="O39" s="262">
        <f>(N39+N40)*12/2</f>
        <v>1991.0447999999997</v>
      </c>
      <c r="P39" s="278">
        <v>900</v>
      </c>
      <c r="Q39" s="225">
        <f>P39*K39</f>
        <v>1055203.2</v>
      </c>
      <c r="R39" s="243">
        <v>750</v>
      </c>
      <c r="S39" s="227">
        <f>R39*M39</f>
        <v>1406046.5999999999</v>
      </c>
      <c r="T39" s="235">
        <v>650</v>
      </c>
      <c r="U39" s="241">
        <f>T39*O39</f>
        <v>1294179.1199999999</v>
      </c>
    </row>
    <row r="40" spans="1:21" ht="13.5" thickBot="1">
      <c r="A40" s="306"/>
      <c r="B40" s="326"/>
      <c r="C40" s="328"/>
      <c r="D40" s="322"/>
      <c r="E40" s="309"/>
      <c r="G40" s="233"/>
      <c r="H40" s="96" t="s">
        <v>63</v>
      </c>
      <c r="I40" s="65"/>
      <c r="J40" s="81">
        <f>27140*0.0036</f>
        <v>97.704</v>
      </c>
      <c r="K40" s="302"/>
      <c r="L40" s="117">
        <f>28931*0.0036</f>
        <v>104.1516</v>
      </c>
      <c r="M40" s="303"/>
      <c r="N40" s="111">
        <f>30726*0.0036</f>
        <v>110.61359999999999</v>
      </c>
      <c r="O40" s="262"/>
      <c r="P40" s="278"/>
      <c r="Q40" s="225"/>
      <c r="R40" s="226"/>
      <c r="S40" s="228"/>
      <c r="T40" s="236"/>
      <c r="U40" s="242"/>
    </row>
    <row r="41" spans="1:21" ht="14.25" customHeight="1">
      <c r="A41" s="257" t="s">
        <v>64</v>
      </c>
      <c r="B41" s="55" t="s">
        <v>22</v>
      </c>
      <c r="C41" s="231">
        <f>E41/D41</f>
        <v>188762.587654321</v>
      </c>
      <c r="D41" s="337">
        <v>405</v>
      </c>
      <c r="E41" s="259">
        <v>76448848</v>
      </c>
      <c r="G41" s="257" t="s">
        <v>64</v>
      </c>
      <c r="H41" s="91" t="s">
        <v>59</v>
      </c>
      <c r="I41" s="71">
        <f>27140*16*0.55</f>
        <v>238832.00000000003</v>
      </c>
      <c r="J41" s="277">
        <f>(I41+I42)/2</f>
        <v>260544</v>
      </c>
      <c r="K41" s="293">
        <f>(J41)/2</f>
        <v>130272</v>
      </c>
      <c r="L41" s="162">
        <f>28931*16*0.55</f>
        <v>254592.80000000002</v>
      </c>
      <c r="M41" s="295">
        <f>(L41+L42)/4</f>
        <v>138868.80000000002</v>
      </c>
      <c r="N41" s="163">
        <f>30726*16*0.55</f>
        <v>270388.80000000005</v>
      </c>
      <c r="O41" s="291">
        <f>(AVERAGE(N41:N42))/2</f>
        <v>147484.80000000002</v>
      </c>
      <c r="P41" s="275">
        <v>250</v>
      </c>
      <c r="Q41" s="222">
        <f>P41*K41</f>
        <v>32568000</v>
      </c>
      <c r="R41" s="243">
        <v>225</v>
      </c>
      <c r="S41" s="227">
        <f>R41*M41</f>
        <v>31245480.000000004</v>
      </c>
      <c r="T41" s="235">
        <v>200</v>
      </c>
      <c r="U41" s="241">
        <f>T41*O41</f>
        <v>29496960.000000004</v>
      </c>
    </row>
    <row r="42" spans="1:21" ht="36.75" customHeight="1" thickBot="1">
      <c r="A42" s="258"/>
      <c r="B42" s="49" t="s">
        <v>24</v>
      </c>
      <c r="C42" s="232"/>
      <c r="D42" s="334"/>
      <c r="E42" s="260"/>
      <c r="G42" s="258"/>
      <c r="H42" s="93" t="s">
        <v>60</v>
      </c>
      <c r="I42" s="94">
        <f>27140*16*0.65</f>
        <v>282256</v>
      </c>
      <c r="J42" s="264"/>
      <c r="K42" s="294"/>
      <c r="L42" s="165">
        <f>28931*16*0.65</f>
        <v>300882.4</v>
      </c>
      <c r="M42" s="296"/>
      <c r="N42" s="166">
        <f>30726*16*0.65</f>
        <v>319550.4</v>
      </c>
      <c r="O42" s="292"/>
      <c r="P42" s="276"/>
      <c r="Q42" s="261"/>
      <c r="R42" s="226"/>
      <c r="S42" s="228"/>
      <c r="T42" s="236"/>
      <c r="U42" s="242"/>
    </row>
    <row r="43" spans="1:21" ht="36.75" customHeight="1" thickBot="1">
      <c r="A43" s="209"/>
      <c r="B43" s="210"/>
      <c r="C43" s="211"/>
      <c r="D43" s="212"/>
      <c r="E43" s="213"/>
      <c r="G43" s="42" t="s">
        <v>85</v>
      </c>
      <c r="H43" s="215"/>
      <c r="I43" s="208"/>
      <c r="J43" s="58"/>
      <c r="K43" s="167"/>
      <c r="L43" s="170"/>
      <c r="M43" s="171"/>
      <c r="N43" s="172"/>
      <c r="O43" s="116"/>
      <c r="P43" s="39"/>
      <c r="Q43" s="137">
        <v>309000000</v>
      </c>
      <c r="R43" s="40"/>
      <c r="S43" s="136">
        <v>250000000</v>
      </c>
      <c r="T43" s="63"/>
      <c r="U43" s="151">
        <v>240000000</v>
      </c>
    </row>
    <row r="44" spans="1:21" ht="38.25">
      <c r="A44" s="304" t="s">
        <v>65</v>
      </c>
      <c r="B44" s="329" t="s">
        <v>66</v>
      </c>
      <c r="C44" s="331">
        <f>E44/D44</f>
        <v>254033.38333333333</v>
      </c>
      <c r="D44" s="333">
        <v>60</v>
      </c>
      <c r="E44" s="343">
        <v>15242003</v>
      </c>
      <c r="G44" s="257" t="s">
        <v>65</v>
      </c>
      <c r="H44" s="47" t="s">
        <v>67</v>
      </c>
      <c r="I44" s="97">
        <f>27140*0.45</f>
        <v>12213</v>
      </c>
      <c r="J44" s="277">
        <f>(I44+I45)/2</f>
        <v>14927</v>
      </c>
      <c r="K44" s="293">
        <f>27140*0.55*6</f>
        <v>89562.00000000001</v>
      </c>
      <c r="L44" s="162">
        <f>28931*0.9*12</f>
        <v>312454.80000000005</v>
      </c>
      <c r="M44" s="295">
        <f>28931*0.55*9</f>
        <v>143208.45</v>
      </c>
      <c r="N44" s="163">
        <f>30726*0.9*12</f>
        <v>331840.80000000005</v>
      </c>
      <c r="O44" s="291">
        <f>30726*0.55*9</f>
        <v>152093.7</v>
      </c>
      <c r="P44" s="275">
        <v>50</v>
      </c>
      <c r="Q44" s="222">
        <f>P44*K44</f>
        <v>4478100.000000001</v>
      </c>
      <c r="R44" s="243">
        <v>50</v>
      </c>
      <c r="S44" s="227">
        <f>R44*M44</f>
        <v>7160422.500000001</v>
      </c>
      <c r="T44" s="235">
        <v>50</v>
      </c>
      <c r="U44" s="241">
        <f>T44*O44</f>
        <v>7604685.000000001</v>
      </c>
    </row>
    <row r="45" spans="1:21" ht="42" customHeight="1" thickBot="1">
      <c r="A45" s="258"/>
      <c r="B45" s="330"/>
      <c r="C45" s="332"/>
      <c r="D45" s="334"/>
      <c r="E45" s="260"/>
      <c r="G45" s="258"/>
      <c r="H45" s="50"/>
      <c r="I45" s="94">
        <f>27140*0.65</f>
        <v>17641</v>
      </c>
      <c r="J45" s="264"/>
      <c r="K45" s="294"/>
      <c r="L45" s="118">
        <f>28931*0.9*12</f>
        <v>312454.80000000005</v>
      </c>
      <c r="M45" s="296"/>
      <c r="N45" s="112">
        <f>30726*0.9*12</f>
        <v>331840.80000000005</v>
      </c>
      <c r="O45" s="292"/>
      <c r="P45" s="276"/>
      <c r="Q45" s="261"/>
      <c r="R45" s="226"/>
      <c r="S45" s="228"/>
      <c r="T45" s="236"/>
      <c r="U45" s="242"/>
    </row>
    <row r="46" spans="1:21" ht="14.25" customHeight="1">
      <c r="A46" s="257" t="s">
        <v>68</v>
      </c>
      <c r="B46" s="329" t="s">
        <v>69</v>
      </c>
      <c r="C46" s="231">
        <f>E46/D46</f>
        <v>43462.19119226638</v>
      </c>
      <c r="D46" s="231">
        <v>2793</v>
      </c>
      <c r="E46" s="259">
        <v>121389900</v>
      </c>
      <c r="G46" s="304" t="s">
        <v>68</v>
      </c>
      <c r="H46" s="98" t="s">
        <v>70</v>
      </c>
      <c r="I46" s="71">
        <f>27140*2.5</f>
        <v>67850</v>
      </c>
      <c r="J46" s="277">
        <f>(I46+I47)/2</f>
        <v>101775</v>
      </c>
      <c r="K46" s="302">
        <f>(J46)/2</f>
        <v>50887.5</v>
      </c>
      <c r="L46" s="168">
        <f>28931*2.5</f>
        <v>72327.5</v>
      </c>
      <c r="M46" s="303">
        <f>(L46+L47)/2/2</f>
        <v>54245.625</v>
      </c>
      <c r="N46" s="169">
        <f>30726*2.5</f>
        <v>76815</v>
      </c>
      <c r="O46" s="262">
        <f>(N46+N47)/2/2</f>
        <v>57611.25</v>
      </c>
      <c r="P46" s="278">
        <v>2200</v>
      </c>
      <c r="Q46" s="225">
        <f>P46*K46</f>
        <v>111952500</v>
      </c>
      <c r="R46" s="243">
        <v>2100</v>
      </c>
      <c r="S46" s="227">
        <f>R46*M46</f>
        <v>113915812.5</v>
      </c>
      <c r="T46" s="235">
        <v>1900</v>
      </c>
      <c r="U46" s="241">
        <f>T46*O46</f>
        <v>109461375</v>
      </c>
    </row>
    <row r="47" spans="1:21" ht="13.5" thickBot="1">
      <c r="A47" s="258"/>
      <c r="B47" s="330"/>
      <c r="C47" s="232"/>
      <c r="D47" s="334"/>
      <c r="E47" s="260"/>
      <c r="G47" s="258"/>
      <c r="H47" s="101" t="s">
        <v>71</v>
      </c>
      <c r="I47" s="94">
        <f>27140*5</f>
        <v>135700</v>
      </c>
      <c r="J47" s="264"/>
      <c r="K47" s="294"/>
      <c r="L47" s="165">
        <f>28931*5</f>
        <v>144655</v>
      </c>
      <c r="M47" s="274"/>
      <c r="N47" s="166">
        <f>30726*5</f>
        <v>153630</v>
      </c>
      <c r="O47" s="299"/>
      <c r="P47" s="276"/>
      <c r="Q47" s="261"/>
      <c r="R47" s="226"/>
      <c r="S47" s="228"/>
      <c r="T47" s="236"/>
      <c r="U47" s="242"/>
    </row>
    <row r="48" spans="1:21" ht="13.5" thickBot="1">
      <c r="A48" s="197" t="s">
        <v>72</v>
      </c>
      <c r="B48" s="203"/>
      <c r="C48" s="204">
        <f>AVERAGE(C8:C47)</f>
        <v>65290.77242104696</v>
      </c>
      <c r="D48" s="204">
        <f>SUM(D8:D9,D12:D47)</f>
        <v>274193</v>
      </c>
      <c r="E48" s="198">
        <f>SUM(E8:E47)</f>
        <v>2618510147</v>
      </c>
      <c r="F48" s="8"/>
      <c r="G48" s="197" t="s">
        <v>72</v>
      </c>
      <c r="H48" s="205"/>
      <c r="I48" s="206"/>
      <c r="J48" s="206"/>
      <c r="K48" s="199">
        <f>AVERAGE(K8:K47)</f>
        <v>34010.203272727274</v>
      </c>
      <c r="L48" s="199"/>
      <c r="M48" s="199">
        <f>AVERAGE(M8:M47)</f>
        <v>42150.80523768116</v>
      </c>
      <c r="N48" s="207"/>
      <c r="O48" s="199">
        <f>AVERAGE(O8:O47)</f>
        <v>45025.04076770187</v>
      </c>
      <c r="P48" s="200">
        <f>SUM(P8:P47)</f>
        <v>138225</v>
      </c>
      <c r="Q48" s="201">
        <f>SUM(Q8:Q47)</f>
        <v>2505407246.381818</v>
      </c>
      <c r="R48" s="200">
        <f>SUM(R12:R47)</f>
        <v>80710</v>
      </c>
      <c r="S48" s="202">
        <f>SUM(S8:S47)</f>
        <v>2814430078.2666664</v>
      </c>
      <c r="T48" s="200">
        <f>SUM(T12:T47)</f>
        <v>72445</v>
      </c>
      <c r="U48" s="202">
        <f>SUM(U8:U47)</f>
        <v>2811791429.12</v>
      </c>
    </row>
    <row r="50" ht="12.75">
      <c r="A50" s="4" t="s">
        <v>73</v>
      </c>
    </row>
    <row r="51" spans="1:21" ht="39.75" customHeight="1">
      <c r="A51" s="246" t="s">
        <v>86</v>
      </c>
      <c r="B51" s="246"/>
      <c r="C51" s="246"/>
      <c r="D51" s="246"/>
      <c r="E51" s="246"/>
      <c r="G51" s="246" t="s">
        <v>100</v>
      </c>
      <c r="H51" s="246"/>
      <c r="I51" s="246"/>
      <c r="J51" s="246"/>
      <c r="K51" s="246"/>
      <c r="L51" s="246"/>
      <c r="M51" s="246"/>
      <c r="N51" s="246"/>
      <c r="O51" s="246"/>
      <c r="P51" s="246"/>
      <c r="R51" s="245" t="s">
        <v>115</v>
      </c>
      <c r="S51" s="245"/>
      <c r="T51" s="245"/>
      <c r="U51" s="245"/>
    </row>
    <row r="52" spans="1:21" ht="12.75">
      <c r="A52" s="246" t="s">
        <v>87</v>
      </c>
      <c r="B52" s="246"/>
      <c r="C52" s="246"/>
      <c r="D52" s="246"/>
      <c r="E52" s="246"/>
      <c r="G52" s="244" t="s">
        <v>101</v>
      </c>
      <c r="H52" s="244"/>
      <c r="I52" s="244"/>
      <c r="J52" s="244"/>
      <c r="K52" s="244"/>
      <c r="L52" s="244"/>
      <c r="M52" s="244"/>
      <c r="N52" s="244"/>
      <c r="O52" s="244"/>
      <c r="P52" s="244"/>
      <c r="R52" s="245"/>
      <c r="S52" s="245"/>
      <c r="T52" s="245"/>
      <c r="U52" s="245"/>
    </row>
    <row r="53" spans="1:21" ht="39" customHeight="1">
      <c r="A53" s="246" t="s">
        <v>88</v>
      </c>
      <c r="B53" s="246"/>
      <c r="C53" s="246"/>
      <c r="D53" s="246"/>
      <c r="E53" s="246"/>
      <c r="G53" s="246" t="s">
        <v>102</v>
      </c>
      <c r="H53" s="246"/>
      <c r="I53" s="246"/>
      <c r="J53" s="246"/>
      <c r="K53" s="246"/>
      <c r="L53" s="246"/>
      <c r="M53" s="246"/>
      <c r="N53" s="246"/>
      <c r="O53" s="246"/>
      <c r="P53" s="246"/>
      <c r="R53" s="245"/>
      <c r="S53" s="245"/>
      <c r="T53" s="245"/>
      <c r="U53" s="245"/>
    </row>
    <row r="54" spans="1:21" ht="12.75">
      <c r="A54" s="249" t="s">
        <v>89</v>
      </c>
      <c r="B54" s="249"/>
      <c r="C54" s="249"/>
      <c r="D54" s="249"/>
      <c r="E54" s="249"/>
      <c r="G54" s="244" t="s">
        <v>103</v>
      </c>
      <c r="H54" s="244"/>
      <c r="I54" s="244"/>
      <c r="J54" s="244"/>
      <c r="K54" s="244"/>
      <c r="L54" s="244"/>
      <c r="M54" s="244"/>
      <c r="N54" s="244"/>
      <c r="O54" s="244"/>
      <c r="P54" s="244"/>
      <c r="R54" s="245" t="s">
        <v>116</v>
      </c>
      <c r="S54" s="245"/>
      <c r="T54" s="245"/>
      <c r="U54" s="245"/>
    </row>
    <row r="55" spans="1:21" ht="25.5" customHeight="1">
      <c r="A55" s="246" t="s">
        <v>90</v>
      </c>
      <c r="B55" s="246"/>
      <c r="C55" s="246"/>
      <c r="D55" s="246"/>
      <c r="E55" s="246"/>
      <c r="G55" s="246" t="s">
        <v>104</v>
      </c>
      <c r="H55" s="246"/>
      <c r="I55" s="246"/>
      <c r="J55" s="246"/>
      <c r="K55" s="246"/>
      <c r="L55" s="246"/>
      <c r="M55" s="246"/>
      <c r="N55" s="246"/>
      <c r="O55" s="246"/>
      <c r="P55" s="246"/>
      <c r="R55" s="245"/>
      <c r="S55" s="245"/>
      <c r="T55" s="245"/>
      <c r="U55" s="245"/>
    </row>
    <row r="56" spans="1:21" ht="12.75">
      <c r="A56" s="249" t="s">
        <v>91</v>
      </c>
      <c r="B56" s="249"/>
      <c r="C56" s="249"/>
      <c r="D56" s="249"/>
      <c r="E56" s="249"/>
      <c r="G56" s="244" t="s">
        <v>105</v>
      </c>
      <c r="H56" s="244"/>
      <c r="I56" s="244"/>
      <c r="J56" s="244"/>
      <c r="K56" s="244"/>
      <c r="L56" s="244"/>
      <c r="M56" s="244"/>
      <c r="N56" s="244"/>
      <c r="O56" s="244"/>
      <c r="P56" s="244"/>
      <c r="R56" s="245"/>
      <c r="S56" s="245"/>
      <c r="T56" s="245"/>
      <c r="U56" s="245"/>
    </row>
    <row r="57" spans="1:21" ht="12.75">
      <c r="A57" s="249" t="s">
        <v>92</v>
      </c>
      <c r="B57" s="249"/>
      <c r="C57" s="249"/>
      <c r="D57" s="249"/>
      <c r="E57" s="249"/>
      <c r="G57" s="244" t="s">
        <v>106</v>
      </c>
      <c r="H57" s="244"/>
      <c r="I57" s="244"/>
      <c r="J57" s="244"/>
      <c r="K57" s="244"/>
      <c r="L57" s="244"/>
      <c r="M57" s="244"/>
      <c r="N57" s="244"/>
      <c r="O57" s="244"/>
      <c r="P57" s="244"/>
      <c r="R57" s="245"/>
      <c r="S57" s="245"/>
      <c r="T57" s="245"/>
      <c r="U57" s="245"/>
    </row>
    <row r="58" spans="1:21" ht="12.75">
      <c r="A58" s="247" t="s">
        <v>93</v>
      </c>
      <c r="B58" s="247"/>
      <c r="C58" s="247"/>
      <c r="D58" s="247"/>
      <c r="E58" s="247"/>
      <c r="G58" s="244" t="s">
        <v>107</v>
      </c>
      <c r="H58" s="244"/>
      <c r="I58" s="244"/>
      <c r="J58" s="244"/>
      <c r="K58" s="244"/>
      <c r="L58" s="244"/>
      <c r="M58" s="244"/>
      <c r="N58" s="244"/>
      <c r="O58" s="244"/>
      <c r="P58" s="244"/>
      <c r="R58" s="245"/>
      <c r="S58" s="245"/>
      <c r="T58" s="245"/>
      <c r="U58" s="245"/>
    </row>
    <row r="59" spans="1:21" ht="12.75">
      <c r="A59" s="247" t="s">
        <v>94</v>
      </c>
      <c r="B59" s="247"/>
      <c r="C59" s="247"/>
      <c r="D59" s="247"/>
      <c r="E59" s="247"/>
      <c r="G59" s="244" t="s">
        <v>108</v>
      </c>
      <c r="H59" s="244"/>
      <c r="I59" s="244"/>
      <c r="J59" s="244"/>
      <c r="K59" s="244"/>
      <c r="L59" s="244"/>
      <c r="M59" s="244"/>
      <c r="N59" s="244"/>
      <c r="O59" s="244"/>
      <c r="P59" s="244"/>
      <c r="R59" s="245"/>
      <c r="S59" s="245"/>
      <c r="T59" s="245"/>
      <c r="U59" s="245"/>
    </row>
    <row r="60" spans="1:21" ht="26.25" customHeight="1">
      <c r="A60" s="246" t="s">
        <v>96</v>
      </c>
      <c r="B60" s="246"/>
      <c r="C60" s="246"/>
      <c r="D60" s="246"/>
      <c r="E60" s="246"/>
      <c r="G60" s="246" t="s">
        <v>109</v>
      </c>
      <c r="H60" s="246"/>
      <c r="I60" s="246"/>
      <c r="J60" s="246"/>
      <c r="K60" s="246"/>
      <c r="L60" s="246"/>
      <c r="M60" s="246"/>
      <c r="N60" s="246"/>
      <c r="O60" s="246"/>
      <c r="P60" s="246"/>
      <c r="R60" s="245" t="s">
        <v>117</v>
      </c>
      <c r="S60" s="245"/>
      <c r="T60" s="245"/>
      <c r="U60" s="245"/>
    </row>
    <row r="61" spans="1:21" ht="65.25" customHeight="1">
      <c r="A61" s="246" t="s">
        <v>95</v>
      </c>
      <c r="B61" s="246"/>
      <c r="C61" s="246"/>
      <c r="D61" s="246"/>
      <c r="E61" s="246"/>
      <c r="G61" s="246" t="s">
        <v>110</v>
      </c>
      <c r="H61" s="246"/>
      <c r="I61" s="246"/>
      <c r="J61" s="246"/>
      <c r="K61" s="246"/>
      <c r="L61" s="246"/>
      <c r="M61" s="246"/>
      <c r="N61" s="246"/>
      <c r="O61" s="246"/>
      <c r="P61" s="246"/>
      <c r="R61" s="245"/>
      <c r="S61" s="245"/>
      <c r="T61" s="245"/>
      <c r="U61" s="245"/>
    </row>
    <row r="62" spans="1:16" ht="24" customHeight="1">
      <c r="A62" s="246" t="s">
        <v>97</v>
      </c>
      <c r="B62" s="246"/>
      <c r="C62" s="246"/>
      <c r="D62" s="246"/>
      <c r="E62" s="246"/>
      <c r="G62" s="244"/>
      <c r="H62" s="244"/>
      <c r="I62" s="244"/>
      <c r="J62" s="244"/>
      <c r="K62" s="244"/>
      <c r="L62" s="244"/>
      <c r="M62" s="244"/>
      <c r="N62" s="244"/>
      <c r="O62" s="244"/>
      <c r="P62" s="244"/>
    </row>
    <row r="63" spans="1:16" ht="14.25" customHeight="1">
      <c r="A63" s="246" t="s">
        <v>98</v>
      </c>
      <c r="B63" s="246"/>
      <c r="C63" s="246"/>
      <c r="D63" s="246"/>
      <c r="E63" s="246"/>
      <c r="G63" s="244"/>
      <c r="H63" s="244"/>
      <c r="I63" s="244"/>
      <c r="J63" s="244"/>
      <c r="K63" s="244"/>
      <c r="L63" s="244"/>
      <c r="M63" s="244"/>
      <c r="N63" s="244"/>
      <c r="O63" s="244"/>
      <c r="P63" s="244"/>
    </row>
    <row r="64" spans="1:16" ht="24" customHeight="1">
      <c r="A64" s="246" t="s">
        <v>99</v>
      </c>
      <c r="B64" s="246"/>
      <c r="C64" s="246"/>
      <c r="D64" s="246"/>
      <c r="E64" s="246"/>
      <c r="G64" s="244"/>
      <c r="H64" s="244"/>
      <c r="I64" s="244"/>
      <c r="J64" s="244"/>
      <c r="K64" s="244"/>
      <c r="L64" s="244"/>
      <c r="M64" s="244"/>
      <c r="N64" s="244"/>
      <c r="O64" s="244"/>
      <c r="P64" s="244"/>
    </row>
    <row r="65" spans="1:5" ht="12.75">
      <c r="A65" s="214"/>
      <c r="B65" s="214"/>
      <c r="C65" s="214"/>
      <c r="D65" s="214"/>
      <c r="E65" s="214"/>
    </row>
    <row r="66" spans="1:17" ht="41.25" customHeight="1">
      <c r="A66" s="254"/>
      <c r="B66" s="254"/>
      <c r="C66" s="254"/>
      <c r="D66" s="254"/>
      <c r="E66" s="254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</row>
    <row r="67" spans="1:9" ht="30" customHeight="1">
      <c r="A67" s="254"/>
      <c r="B67" s="254"/>
      <c r="C67" s="254"/>
      <c r="D67" s="254"/>
      <c r="E67" s="254"/>
      <c r="G67" s="103"/>
      <c r="H67" s="103"/>
      <c r="I67" s="103"/>
    </row>
    <row r="68" spans="1:9" ht="65.25" customHeight="1">
      <c r="A68" s="239"/>
      <c r="B68" s="239"/>
      <c r="C68" s="239"/>
      <c r="D68" s="239"/>
      <c r="E68" s="239"/>
      <c r="G68" s="103"/>
      <c r="H68" s="103"/>
      <c r="I68" s="103"/>
    </row>
    <row r="69" spans="1:9" ht="62.25" customHeight="1">
      <c r="A69" s="239"/>
      <c r="B69" s="239"/>
      <c r="C69" s="239"/>
      <c r="D69" s="239"/>
      <c r="E69" s="239"/>
      <c r="G69" s="103"/>
      <c r="H69" s="103"/>
      <c r="I69" s="103"/>
    </row>
    <row r="70" spans="1:5" ht="63" customHeight="1">
      <c r="A70" s="239"/>
      <c r="B70" s="239"/>
      <c r="C70" s="239"/>
      <c r="D70" s="239"/>
      <c r="E70" s="239"/>
    </row>
  </sheetData>
  <mergeCells count="271">
    <mergeCell ref="G33:G34"/>
    <mergeCell ref="D37:D38"/>
    <mergeCell ref="E35:E36"/>
    <mergeCell ref="E33:E34"/>
    <mergeCell ref="E39:E40"/>
    <mergeCell ref="E37:E38"/>
    <mergeCell ref="C46:C47"/>
    <mergeCell ref="C25:C26"/>
    <mergeCell ref="C27:C28"/>
    <mergeCell ref="C30:C32"/>
    <mergeCell ref="C33:C34"/>
    <mergeCell ref="C37:C38"/>
    <mergeCell ref="C39:C40"/>
    <mergeCell ref="C41:C42"/>
    <mergeCell ref="G6:H7"/>
    <mergeCell ref="C14:C15"/>
    <mergeCell ref="C16:C17"/>
    <mergeCell ref="C18:C19"/>
    <mergeCell ref="H14:H15"/>
    <mergeCell ref="C6:C7"/>
    <mergeCell ref="E6:E7"/>
    <mergeCell ref="A68:E68"/>
    <mergeCell ref="A69:E69"/>
    <mergeCell ref="K44:K45"/>
    <mergeCell ref="M44:M45"/>
    <mergeCell ref="B46:B47"/>
    <mergeCell ref="E44:E45"/>
    <mergeCell ref="A67:E67"/>
    <mergeCell ref="D46:D47"/>
    <mergeCell ref="E46:E47"/>
    <mergeCell ref="A46:A47"/>
    <mergeCell ref="M23:M24"/>
    <mergeCell ref="O23:O24"/>
    <mergeCell ref="K27:K28"/>
    <mergeCell ref="M27:M28"/>
    <mergeCell ref="O27:O28"/>
    <mergeCell ref="M25:M26"/>
    <mergeCell ref="K25:K26"/>
    <mergeCell ref="A22:A24"/>
    <mergeCell ref="C22:C24"/>
    <mergeCell ref="J16:J17"/>
    <mergeCell ref="J20:J21"/>
    <mergeCell ref="D18:D19"/>
    <mergeCell ref="H18:H19"/>
    <mergeCell ref="I18:I19"/>
    <mergeCell ref="B22:B24"/>
    <mergeCell ref="D22:D24"/>
    <mergeCell ref="A27:A28"/>
    <mergeCell ref="B27:B28"/>
    <mergeCell ref="D27:D28"/>
    <mergeCell ref="E27:E28"/>
    <mergeCell ref="G25:G26"/>
    <mergeCell ref="A25:A26"/>
    <mergeCell ref="A18:A19"/>
    <mergeCell ref="A41:A42"/>
    <mergeCell ref="D41:D42"/>
    <mergeCell ref="E41:E42"/>
    <mergeCell ref="A37:A38"/>
    <mergeCell ref="A39:A40"/>
    <mergeCell ref="B39:B40"/>
    <mergeCell ref="D39:D40"/>
    <mergeCell ref="A44:A45"/>
    <mergeCell ref="B44:B45"/>
    <mergeCell ref="C44:C45"/>
    <mergeCell ref="D44:D45"/>
    <mergeCell ref="A33:A34"/>
    <mergeCell ref="D33:D34"/>
    <mergeCell ref="A35:A36"/>
    <mergeCell ref="B35:B36"/>
    <mergeCell ref="D35:D36"/>
    <mergeCell ref="C35:C36"/>
    <mergeCell ref="D30:D32"/>
    <mergeCell ref="E30:E32"/>
    <mergeCell ref="B25:B26"/>
    <mergeCell ref="D25:D26"/>
    <mergeCell ref="B30:B32"/>
    <mergeCell ref="A14:A15"/>
    <mergeCell ref="B14:B15"/>
    <mergeCell ref="D14:D15"/>
    <mergeCell ref="E14:E15"/>
    <mergeCell ref="O20:O21"/>
    <mergeCell ref="A20:A21"/>
    <mergeCell ref="E20:E21"/>
    <mergeCell ref="D20:D21"/>
    <mergeCell ref="K20:K21"/>
    <mergeCell ref="M20:M21"/>
    <mergeCell ref="C20:C21"/>
    <mergeCell ref="O18:O19"/>
    <mergeCell ref="M16:M17"/>
    <mergeCell ref="O16:O17"/>
    <mergeCell ref="K14:K15"/>
    <mergeCell ref="K18:K19"/>
    <mergeCell ref="M18:M19"/>
    <mergeCell ref="K16:K17"/>
    <mergeCell ref="A30:A32"/>
    <mergeCell ref="G14:G15"/>
    <mergeCell ref="E22:E24"/>
    <mergeCell ref="B18:B19"/>
    <mergeCell ref="G23:G24"/>
    <mergeCell ref="G20:G21"/>
    <mergeCell ref="G18:G19"/>
    <mergeCell ref="E18:E19"/>
    <mergeCell ref="G27:G28"/>
    <mergeCell ref="G30:G32"/>
    <mergeCell ref="J46:J47"/>
    <mergeCell ref="G41:G42"/>
    <mergeCell ref="G44:G45"/>
    <mergeCell ref="J41:J42"/>
    <mergeCell ref="J44:J45"/>
    <mergeCell ref="G46:G47"/>
    <mergeCell ref="K46:K47"/>
    <mergeCell ref="M46:M47"/>
    <mergeCell ref="M39:M40"/>
    <mergeCell ref="O39:O40"/>
    <mergeCell ref="O44:O45"/>
    <mergeCell ref="O41:O42"/>
    <mergeCell ref="K39:K40"/>
    <mergeCell ref="M41:M42"/>
    <mergeCell ref="O46:O47"/>
    <mergeCell ref="K41:K42"/>
    <mergeCell ref="H31:H32"/>
    <mergeCell ref="O37:O38"/>
    <mergeCell ref="K37:K38"/>
    <mergeCell ref="M37:M38"/>
    <mergeCell ref="O30:O32"/>
    <mergeCell ref="J37:J38"/>
    <mergeCell ref="H33:H34"/>
    <mergeCell ref="K33:K34"/>
    <mergeCell ref="M33:M34"/>
    <mergeCell ref="O33:O34"/>
    <mergeCell ref="P18:P19"/>
    <mergeCell ref="P20:P21"/>
    <mergeCell ref="P23:P24"/>
    <mergeCell ref="P25:P26"/>
    <mergeCell ref="T16:T17"/>
    <mergeCell ref="U16:U17"/>
    <mergeCell ref="U14:U15"/>
    <mergeCell ref="M14:M15"/>
    <mergeCell ref="O14:O15"/>
    <mergeCell ref="P14:P15"/>
    <mergeCell ref="R16:R17"/>
    <mergeCell ref="S16:S17"/>
    <mergeCell ref="P6:Q6"/>
    <mergeCell ref="R6:S6"/>
    <mergeCell ref="P16:P17"/>
    <mergeCell ref="Q16:Q17"/>
    <mergeCell ref="R14:R15"/>
    <mergeCell ref="S14:S15"/>
    <mergeCell ref="Q14:Q15"/>
    <mergeCell ref="P39:P40"/>
    <mergeCell ref="P44:P45"/>
    <mergeCell ref="Q30:Q32"/>
    <mergeCell ref="Q27:Q28"/>
    <mergeCell ref="P27:P28"/>
    <mergeCell ref="P30:P32"/>
    <mergeCell ref="P46:P47"/>
    <mergeCell ref="Q46:Q47"/>
    <mergeCell ref="Q44:Q45"/>
    <mergeCell ref="P41:P42"/>
    <mergeCell ref="R37:R38"/>
    <mergeCell ref="O25:O26"/>
    <mergeCell ref="J31:J32"/>
    <mergeCell ref="L31:L32"/>
    <mergeCell ref="N31:N32"/>
    <mergeCell ref="K30:K32"/>
    <mergeCell ref="M30:M32"/>
    <mergeCell ref="P33:P34"/>
    <mergeCell ref="P37:P38"/>
    <mergeCell ref="J25:J26"/>
    <mergeCell ref="Q20:Q21"/>
    <mergeCell ref="Q18:Q19"/>
    <mergeCell ref="Q23:Q24"/>
    <mergeCell ref="Q41:Q42"/>
    <mergeCell ref="Q39:Q40"/>
    <mergeCell ref="Q37:Q38"/>
    <mergeCell ref="Q33:Q34"/>
    <mergeCell ref="Q25:Q26"/>
    <mergeCell ref="U46:U47"/>
    <mergeCell ref="T44:T45"/>
    <mergeCell ref="U44:U45"/>
    <mergeCell ref="R44:R45"/>
    <mergeCell ref="S44:S45"/>
    <mergeCell ref="S41:S42"/>
    <mergeCell ref="S39:S40"/>
    <mergeCell ref="T41:T42"/>
    <mergeCell ref="R46:R47"/>
    <mergeCell ref="S46:S47"/>
    <mergeCell ref="T46:T47"/>
    <mergeCell ref="U41:U42"/>
    <mergeCell ref="R33:R34"/>
    <mergeCell ref="S33:S34"/>
    <mergeCell ref="T37:T38"/>
    <mergeCell ref="U37:U38"/>
    <mergeCell ref="T39:T40"/>
    <mergeCell ref="U39:U40"/>
    <mergeCell ref="R41:R42"/>
    <mergeCell ref="R39:R40"/>
    <mergeCell ref="S37:S38"/>
    <mergeCell ref="R30:R32"/>
    <mergeCell ref="S30:S32"/>
    <mergeCell ref="R27:R28"/>
    <mergeCell ref="R25:R26"/>
    <mergeCell ref="R23:R24"/>
    <mergeCell ref="S23:S24"/>
    <mergeCell ref="S25:S26"/>
    <mergeCell ref="S27:S28"/>
    <mergeCell ref="T25:T26"/>
    <mergeCell ref="U25:U26"/>
    <mergeCell ref="T27:T28"/>
    <mergeCell ref="U27:U28"/>
    <mergeCell ref="T30:T32"/>
    <mergeCell ref="U30:U32"/>
    <mergeCell ref="T33:T34"/>
    <mergeCell ref="U33:U34"/>
    <mergeCell ref="S20:S21"/>
    <mergeCell ref="T18:T19"/>
    <mergeCell ref="U18:U19"/>
    <mergeCell ref="T20:T21"/>
    <mergeCell ref="U20:U21"/>
    <mergeCell ref="Q5:T5"/>
    <mergeCell ref="T14:T15"/>
    <mergeCell ref="T6:U6"/>
    <mergeCell ref="A70:E70"/>
    <mergeCell ref="K5:O5"/>
    <mergeCell ref="T23:T24"/>
    <mergeCell ref="U23:U24"/>
    <mergeCell ref="R18:R19"/>
    <mergeCell ref="R20:R21"/>
    <mergeCell ref="S18:S19"/>
    <mergeCell ref="A1:U1"/>
    <mergeCell ref="G3:H3"/>
    <mergeCell ref="A66:E66"/>
    <mergeCell ref="G16:G17"/>
    <mergeCell ref="A16:A17"/>
    <mergeCell ref="E16:E17"/>
    <mergeCell ref="E25:E26"/>
    <mergeCell ref="D16:D17"/>
    <mergeCell ref="G37:G38"/>
    <mergeCell ref="G39:G40"/>
    <mergeCell ref="G66:Q66"/>
    <mergeCell ref="A58:E58"/>
    <mergeCell ref="A51:E51"/>
    <mergeCell ref="A52:E52"/>
    <mergeCell ref="A53:E53"/>
    <mergeCell ref="A54:E54"/>
    <mergeCell ref="A55:E55"/>
    <mergeCell ref="A56:E56"/>
    <mergeCell ref="A57:E57"/>
    <mergeCell ref="A64:E64"/>
    <mergeCell ref="A59:E59"/>
    <mergeCell ref="A60:E60"/>
    <mergeCell ref="A61:E61"/>
    <mergeCell ref="A62:E62"/>
    <mergeCell ref="A63:E63"/>
    <mergeCell ref="G51:P51"/>
    <mergeCell ref="G52:P52"/>
    <mergeCell ref="G53:P53"/>
    <mergeCell ref="G54:P54"/>
    <mergeCell ref="G55:P55"/>
    <mergeCell ref="G56:P56"/>
    <mergeCell ref="G57:P57"/>
    <mergeCell ref="G58:P58"/>
    <mergeCell ref="G59:P59"/>
    <mergeCell ref="G64:P64"/>
    <mergeCell ref="R51:U53"/>
    <mergeCell ref="R54:U59"/>
    <mergeCell ref="R60:U61"/>
    <mergeCell ref="G60:P60"/>
    <mergeCell ref="G61:P61"/>
    <mergeCell ref="G62:P62"/>
    <mergeCell ref="G63:P63"/>
  </mergeCells>
  <printOptions/>
  <pageMargins left="0.3937007874015748" right="0.1968503937007874" top="0.5905511811023623" bottom="0.1968503937007874" header="0.31496062992125984" footer="0.11811023622047245"/>
  <pageSetup horizontalDpi="600" verticalDpi="600" orientation="landscape" paperSize="9" scale="54" r:id="rId1"/>
  <headerFooter alignWithMargins="0">
    <oddHeader>&amp;R&amp;9Príloha k Doložke finančných, ekonomických, environmentálnych vplyvov, vplyvov na zamestnanosť a podnikateľské prostredie</oddHeader>
    <oddFooter>&amp;R&amp;P</oddFooter>
  </headerFooter>
  <rowBreaks count="1" manualBreakCount="1">
    <brk id="29" max="20" man="1"/>
  </rowBreaks>
  <ignoredErrors>
    <ignoredError sqref="D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lanakova</dc:creator>
  <cp:keywords/>
  <dc:description/>
  <cp:lastModifiedBy>lanakova</cp:lastModifiedBy>
  <cp:lastPrinted>2007-09-26T12:13:52Z</cp:lastPrinted>
  <dcterms:created xsi:type="dcterms:W3CDTF">2007-09-13T16:53:04Z</dcterms:created>
  <dcterms:modified xsi:type="dcterms:W3CDTF">2007-11-30T14:19:27Z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