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15" windowHeight="6495" activeTab="2"/>
  </bookViews>
  <sheets>
    <sheet name="nup" sheetId="1" r:id="rId1"/>
    <sheet name="socpoist" sheetId="2" r:id="rId2"/>
    <sheet name="zdravpoist" sheetId="3" r:id="rId3"/>
  </sheets>
  <definedNames/>
  <calcPr fullCalcOnLoad="1"/>
</workbook>
</file>

<file path=xl/sharedStrings.xml><?xml version="1.0" encoding="utf-8"?>
<sst xmlns="http://schemas.openxmlformats.org/spreadsheetml/2006/main" count="326" uniqueCount="278">
  <si>
    <t>Vývoj systému poistenia v nezamestnanosti a príspevku do garančného fondu</t>
  </si>
  <si>
    <t>Národný úrad práce</t>
  </si>
  <si>
    <t>(fondy)</t>
  </si>
  <si>
    <t>Ukazovateľ/sledované obdobie</t>
  </si>
  <si>
    <t>Skutočnosť</t>
  </si>
  <si>
    <t>Index</t>
  </si>
  <si>
    <t>%</t>
  </si>
  <si>
    <t>skutoč.2001</t>
  </si>
  <si>
    <t xml:space="preserve">Vládny </t>
  </si>
  <si>
    <t>rozpočet NÚP</t>
  </si>
  <si>
    <t>za rok</t>
  </si>
  <si>
    <t>rozpočet</t>
  </si>
  <si>
    <t>plnenia</t>
  </si>
  <si>
    <t xml:space="preserve">v zmysle </t>
  </si>
  <si>
    <t>schv. NR SR</t>
  </si>
  <si>
    <t>uč.záv.</t>
  </si>
  <si>
    <t>skut.2001</t>
  </si>
  <si>
    <t>rozpočtu NÚP</t>
  </si>
  <si>
    <t>A.</t>
  </si>
  <si>
    <t>A I.</t>
  </si>
  <si>
    <t xml:space="preserve">Príjmy  b. r. vrátane cudzích zdrojov (I.1+I.2+I.3) </t>
  </si>
  <si>
    <t>A.II.</t>
  </si>
  <si>
    <t>Príjmy b.r. bez cudzích zdrojov (I.1+I.2)</t>
  </si>
  <si>
    <t>I.1</t>
  </si>
  <si>
    <t>Zdroje zo ŠR do GF , APTP a iné , v tom :</t>
  </si>
  <si>
    <t xml:space="preserve">     - účel. dotácia zo ŠR do GF(§77 a, ods.2)</t>
  </si>
  <si>
    <t xml:space="preserve">     - účel. dotácia zo ŠR na APTP- Národný plán zamestnanosti </t>
  </si>
  <si>
    <t xml:space="preserve">     - účel. dotácia zo ŠR na aktívne opatrenia (projekty)</t>
  </si>
  <si>
    <t>I.2</t>
  </si>
  <si>
    <t>Zdroje NÚP (I.2.1+I.2.2.+I.2.3), v tom :</t>
  </si>
  <si>
    <t>I.2.1</t>
  </si>
  <si>
    <t>*privatizácia -uzn.525/2001 - oddl. ŽSR</t>
  </si>
  <si>
    <t xml:space="preserve">                     -uzn.502 a 1132/2001 -oddĺž.zdrav.zariadení</t>
  </si>
  <si>
    <t xml:space="preserve">      -  do ZF, z toho :</t>
  </si>
  <si>
    <t xml:space="preserve">                    úhrady dlžných súm z príspevkov</t>
  </si>
  <si>
    <t>Čistý výber  ZF</t>
  </si>
  <si>
    <t xml:space="preserve">      -  do GF, z toho:</t>
  </si>
  <si>
    <t>Čistý výber  GF</t>
  </si>
  <si>
    <t>I.2.2</t>
  </si>
  <si>
    <t xml:space="preserve">     z  toho :   splátky návr. prostr. </t>
  </si>
  <si>
    <t>I.2.3.</t>
  </si>
  <si>
    <t>Ostatné príjmy správneho fondu</t>
  </si>
  <si>
    <t>I.3</t>
  </si>
  <si>
    <t>AII.</t>
  </si>
  <si>
    <t>Prevod zostatku z predchádzajúceho roka</t>
  </si>
  <si>
    <t>B.</t>
  </si>
  <si>
    <t>Pohľadávky celkom, kumulatív k ...</t>
  </si>
  <si>
    <t>z toho:</t>
  </si>
  <si>
    <t>-  na poistnom v nezamestnanosti</t>
  </si>
  <si>
    <t xml:space="preserve">                               z toho: penále </t>
  </si>
  <si>
    <t>-  z aktívnej a pasívnej  politiky trhu práce</t>
  </si>
  <si>
    <t>C.</t>
  </si>
  <si>
    <t>V Ý D A V K Y   CELKOM (1+2+3+4)</t>
  </si>
  <si>
    <t>1.</t>
  </si>
  <si>
    <t xml:space="preserve">Základný  fond  (1.1 + 1.2)    </t>
  </si>
  <si>
    <t>1.1</t>
  </si>
  <si>
    <t>Výdavky na  aktívnu PTP (a+b), z toho :</t>
  </si>
  <si>
    <t>a) záväzky z dohôd uzatv. v predch.o.</t>
  </si>
  <si>
    <t>b) nové aktívne opatrenia, z toho :</t>
  </si>
  <si>
    <t>z toho : Programy podpory zam. mladých ľudí</t>
  </si>
  <si>
    <t>1.2</t>
  </si>
  <si>
    <t>Výdavky na  pasívnu PTP, z toho :</t>
  </si>
  <si>
    <t xml:space="preserve">                             podpora v nezamestnanosti</t>
  </si>
  <si>
    <t xml:space="preserve">                             poistné za poberateľov HZ </t>
  </si>
  <si>
    <t>2.</t>
  </si>
  <si>
    <t xml:space="preserve">Správny  fond, v tom:.      </t>
  </si>
  <si>
    <t xml:space="preserve">               neinvestičné náklady</t>
  </si>
  <si>
    <t xml:space="preserve">               investičné výdavky</t>
  </si>
  <si>
    <t xml:space="preserve">              úver Svetovej banky</t>
  </si>
  <si>
    <t>3.</t>
  </si>
  <si>
    <t xml:space="preserve">Rezervný  fond     </t>
  </si>
  <si>
    <t>4.</t>
  </si>
  <si>
    <t xml:space="preserve">Garančný  fond  * </t>
  </si>
  <si>
    <t>D.</t>
  </si>
  <si>
    <t xml:space="preserve"> Záväzky celkom</t>
  </si>
  <si>
    <t xml:space="preserve">- z podpísaných dohôd na APTP </t>
  </si>
  <si>
    <t>E.</t>
  </si>
  <si>
    <t>Saldo bežného roka   (A.I-C.)</t>
  </si>
  <si>
    <t>F.</t>
  </si>
  <si>
    <t>SALDO CELKOM (A. - C.)</t>
  </si>
  <si>
    <t xml:space="preserve">v tom : - základný fond    /ZF/ </t>
  </si>
  <si>
    <t xml:space="preserve">            - rezervný fond    /RF/</t>
  </si>
  <si>
    <t xml:space="preserve">            - správny fond     /SF/</t>
  </si>
  <si>
    <t xml:space="preserve">            - garančný fond  /GF/</t>
  </si>
  <si>
    <t>Poznámky:prostriedky z privatizácie sú vykazované v rámci  výberu príspevkov v položke dlžné sumy</t>
  </si>
  <si>
    <t>údaje v zátvorkách znamenajú vrátenie finančných prostriedkov do štátneho rozpočtu</t>
  </si>
  <si>
    <t>v mil. Sk</t>
  </si>
  <si>
    <t xml:space="preserve">Výsledky hospodárenia Sociálnej  poisťovne za rok 2002 </t>
  </si>
  <si>
    <t>vrát.návrhu zvýš.dôch.</t>
  </si>
  <si>
    <t>uzn. NR SR č.1801/2001</t>
  </si>
  <si>
    <t>vrát. schvál. val. dôch.</t>
  </si>
  <si>
    <t xml:space="preserve">o 5% od 1/7/2002  </t>
  </si>
  <si>
    <t>bez val. dôch.</t>
  </si>
  <si>
    <t xml:space="preserve">Vládny rozpočet  </t>
  </si>
  <si>
    <t>Rozpočet Soc.p.</t>
  </si>
  <si>
    <t>Plnenie</t>
  </si>
  <si>
    <t>na rok</t>
  </si>
  <si>
    <t>2</t>
  </si>
  <si>
    <t>3</t>
  </si>
  <si>
    <t>4/2</t>
  </si>
  <si>
    <t>4/3</t>
  </si>
  <si>
    <t>P r í j m y   celkom  (A.I + A.II)</t>
  </si>
  <si>
    <t>A.I</t>
  </si>
  <si>
    <t>P r í j m y   bežného  roka (1 až  4)</t>
  </si>
  <si>
    <t xml:space="preserve"> Výber poistného celkom (1.1 + 1.2 + 1.3 + 1.4)</t>
  </si>
  <si>
    <t>č i s t ý  výber poistného na NP a DZ (a - f)</t>
  </si>
  <si>
    <t>a)</t>
  </si>
  <si>
    <t xml:space="preserve"> výber na  nemoc. poistenie</t>
  </si>
  <si>
    <t>b)</t>
  </si>
  <si>
    <t xml:space="preserve"> zo  ŠR  na nem. poistenie</t>
  </si>
  <si>
    <t>c)</t>
  </si>
  <si>
    <t xml:space="preserve"> z NÚP  na nem. poistenie</t>
  </si>
  <si>
    <t>d)</t>
  </si>
  <si>
    <t xml:space="preserve"> výber na dôchod. zabezpečenie</t>
  </si>
  <si>
    <t>e)</t>
  </si>
  <si>
    <t xml:space="preserve"> zo  ŠR  na dôchod. zabezpečenie</t>
  </si>
  <si>
    <t>f)</t>
  </si>
  <si>
    <t xml:space="preserve"> z NÚP  na dôch. zabezpečenie</t>
  </si>
  <si>
    <t xml:space="preserve"> z úhrad na dlžnom poistn. a zo sankcií  na NP a DZ :</t>
  </si>
  <si>
    <t>bežné úhrady nedoplatkov na poistnom a zo sankcií vym. SP</t>
  </si>
  <si>
    <t xml:space="preserve"> z privat.- oddlž.ŠZZ, ŽSR</t>
  </si>
  <si>
    <t>1.3</t>
  </si>
  <si>
    <t>z vymáhania pohľadávok ( §33a  zák.č. 274/1994 Z.z. )</t>
  </si>
  <si>
    <t>S P O L U   výber za ekon. aktívne osoby (a+ d)</t>
  </si>
  <si>
    <t>S P O L U   zo ŠR  (b+ e)</t>
  </si>
  <si>
    <t xml:space="preserve">S P O L U   z  NÚP  (c+ f) </t>
  </si>
  <si>
    <t>1.4</t>
  </si>
  <si>
    <t>z poist.na poist.zodp.za škodu (od zamestnávateľa)</t>
  </si>
  <si>
    <t>Výpomoc zo ŠR</t>
  </si>
  <si>
    <t>§ 13, ods. 1 b/-prísp.na rast život.nákl.</t>
  </si>
  <si>
    <t>Ostatné príjmy (úroky..)</t>
  </si>
  <si>
    <t>A.II</t>
  </si>
  <si>
    <t>P r e v o d   z min. období</t>
  </si>
  <si>
    <t>P o h ľ a d á v k y    evid. SP (účt. stav k ...), z toho :</t>
  </si>
  <si>
    <t>Pohľadávky na NP a DZ (bez fiktívneho penále), v tom :</t>
  </si>
  <si>
    <t>n e p r e d p í s a n é</t>
  </si>
  <si>
    <t>p r e d p í s a n é,   v tom :</t>
  </si>
  <si>
    <t>pohľadávky na   p o i s t n o m</t>
  </si>
  <si>
    <t>pohľadávky na   s a n k c i a c h</t>
  </si>
  <si>
    <t xml:space="preserve">  V ý d a v k y  celkom(1+2+3+4+5)</t>
  </si>
  <si>
    <t>Základný fond nemocenského poistenia   /ZFNP/</t>
  </si>
  <si>
    <t>Základný fond dôchodkového poistenia  /ZFDZ/</t>
  </si>
  <si>
    <t>z toho : valorizácia dôchodkov</t>
  </si>
  <si>
    <t>Rezervný fond   /RF/</t>
  </si>
  <si>
    <t>Správny fond   /SF/,  v tom :</t>
  </si>
  <si>
    <t>neinvestičné náklady</t>
  </si>
  <si>
    <t>investičné výdavky</t>
  </si>
  <si>
    <t>z toho : účelovo určené prostr.(reforma: jedn.výb.,pôž.SB, úraz.p., IIS SP)</t>
  </si>
  <si>
    <t>-</t>
  </si>
  <si>
    <t>5.</t>
  </si>
  <si>
    <t>Zákl.fond poist.zodpovedn.za škodu /ZFPZŠ/</t>
  </si>
  <si>
    <t xml:space="preserve">  Z á v ä z k y   evid. SP (účt. stav k ...) z toho :</t>
  </si>
  <si>
    <t xml:space="preserve">  Z á v ä z k y  SP  bez vnút. zúčt. (bez fin.pôž.ZFDZ...), z toho :</t>
  </si>
  <si>
    <t xml:space="preserve">               -  k  ŠR, t. j. zúčt. poist.za r. 1993</t>
  </si>
  <si>
    <t>S a l d o    b e ž n é ho   roka (A.I-C)</t>
  </si>
  <si>
    <t>S a l d o    celkom   (A - C),  v  tom :</t>
  </si>
  <si>
    <t>Základný fond nemocenského poistenia /ZFNP/</t>
  </si>
  <si>
    <t>ZFNP    po   presune fin. prostr. do ZFDZ</t>
  </si>
  <si>
    <t xml:space="preserve">Základný fond dôchodkového zabezpečenia /ZFDZ/ </t>
  </si>
  <si>
    <t xml:space="preserve">ZFDZ   po   presune prostr. zo ZFNP  </t>
  </si>
  <si>
    <t xml:space="preserve">ZFDZ   po    presune prostr.  i  z  RF  </t>
  </si>
  <si>
    <t>Rezervný fond /RF/</t>
  </si>
  <si>
    <t>RF po presune prostr. do ZFDZ</t>
  </si>
  <si>
    <t xml:space="preserve">RF po presune prostr. do ZFDZ,  vrátane zost. SF k 31.12. </t>
  </si>
  <si>
    <t xml:space="preserve">Základný fond poistenia zodpovednosti za škodu  </t>
  </si>
  <si>
    <t>Správny fond  /SF/ k 31.12. prísl.r.</t>
  </si>
  <si>
    <t xml:space="preserve">Správny fond  /SF/ po presune zostatku do RF </t>
  </si>
  <si>
    <t>Legenda :      presun do ZFDZ</t>
  </si>
  <si>
    <t>od r. 1999 do r. 2002 :</t>
  </si>
  <si>
    <t>zo ZFNP</t>
  </si>
  <si>
    <t xml:space="preserve">2 814,1 mil.Sk  </t>
  </si>
  <si>
    <t>2 524,7 mil.Sk</t>
  </si>
  <si>
    <t>4 360,0 mil.Sk</t>
  </si>
  <si>
    <t>RF</t>
  </si>
  <si>
    <t xml:space="preserve">   272,4 mil.Sk</t>
  </si>
  <si>
    <t xml:space="preserve">   900,0 mil.Sk </t>
  </si>
  <si>
    <t>3 086,5 mil.Sk</t>
  </si>
  <si>
    <t>5 260,0 mil.Sk</t>
  </si>
  <si>
    <t>Poznámky:</t>
  </si>
  <si>
    <t>1.Údaje v zátvorkách predstavujú záporné hodnoty.</t>
  </si>
  <si>
    <t xml:space="preserve">3. V roku 2002 rozpočt. zdroje z privat.na oddĺž. ŽSR a ŠZZ v sume 2 700 mil. Sk (úhrada nedoplatkov na poistnom voči SP), v tom :  </t>
  </si>
  <si>
    <t xml:space="preserve">   zo ŽSR  2,2 mld Sk (uzn. vl.č. 525/2001 k n. vých.ŠR na r.2002) a  zo ŠZZ  0,5 mldSk (uzn.vl. č. 502/2001 k "stavu záväzkov ZZ...)</t>
  </si>
  <si>
    <t>Informatívne údaje :  výber poistného (1.1+1.2+1.3), v tom :</t>
  </si>
  <si>
    <r>
      <t>3.1</t>
    </r>
    <r>
      <rPr>
        <b/>
        <sz val="12"/>
        <rFont val="Times New Roman"/>
        <family val="1"/>
      </rPr>
      <t xml:space="preserve">  V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r. 2002  </t>
    </r>
    <r>
      <rPr>
        <sz val="12"/>
        <rFont val="Times New Roman"/>
        <family val="1"/>
      </rPr>
      <t>poukázaná suma</t>
    </r>
    <r>
      <rPr>
        <b/>
        <sz val="12"/>
        <rFont val="Times New Roman"/>
        <family val="1"/>
      </rPr>
      <t xml:space="preserve"> 1 044,7 mil. Sk, </t>
    </r>
    <r>
      <rPr>
        <sz val="12"/>
        <rFont val="Times New Roman"/>
        <family val="1"/>
      </rPr>
      <t>v tom :</t>
    </r>
  </si>
  <si>
    <t xml:space="preserve"> zo ŽSR 1 003,0 mil. Sk (vrát.91 mil.Sk doplatku, pričom 509 mil.Sk preddavok pouk.v dec.2001), uzn.vl.č.1092/02 suma 1, 4 mld Sk </t>
  </si>
  <si>
    <r>
      <t xml:space="preserve">zo ŠZZ  41,7 mil. Sk </t>
    </r>
    <r>
      <rPr>
        <sz val="12"/>
        <rFont val="Times New Roman"/>
        <family val="1"/>
      </rPr>
      <t xml:space="preserve">(v uzn.vl.č.502/01 suma 0,5 mld Sk úhrada nedopl.voči SP z priv. zdrojov) </t>
    </r>
  </si>
  <si>
    <t>(agregované ukazovatele)</t>
  </si>
  <si>
    <t xml:space="preserve"> </t>
  </si>
  <si>
    <t>x, xx</t>
  </si>
  <si>
    <t>x, xx,xxx</t>
  </si>
  <si>
    <t>Medziročný</t>
  </si>
  <si>
    <t>Rozpočet ZP</t>
  </si>
  <si>
    <t>index</t>
  </si>
  <si>
    <t xml:space="preserve">   (NR SR)</t>
  </si>
  <si>
    <t>I. -  12.</t>
  </si>
  <si>
    <t>rozpočtu</t>
  </si>
  <si>
    <t>2000/1999</t>
  </si>
  <si>
    <t>2001/2000</t>
  </si>
  <si>
    <t>štát 2 750/NÚP 3 540</t>
  </si>
  <si>
    <t>2002/2001</t>
  </si>
  <si>
    <t>2/1</t>
  </si>
  <si>
    <t>3/2</t>
  </si>
  <si>
    <t>4</t>
  </si>
  <si>
    <t>5</t>
  </si>
  <si>
    <t>5/ 4</t>
  </si>
  <si>
    <t>5/ 3</t>
  </si>
  <si>
    <t>štát 385,-/NÚP 496,-</t>
  </si>
  <si>
    <t xml:space="preserve">Príjmy celkom (I.+II.), v tom : </t>
  </si>
  <si>
    <t>- vlastné (bez zdrojov z privatizácie)</t>
  </si>
  <si>
    <t>- vlastné (vrátane zdrojov z privatizácie)</t>
  </si>
  <si>
    <t>- cudzie</t>
  </si>
  <si>
    <t>I. Prevod z minulých období</t>
  </si>
  <si>
    <t>II. Príjmy bežného roka, v tom :</t>
  </si>
  <si>
    <t>- cudzie (návr.fin.výp., úvery a  pôžičky)</t>
  </si>
  <si>
    <t>Vlastné zdroje</t>
  </si>
  <si>
    <t xml:space="preserve">(poistné zo ŠR) - osobitný účet </t>
  </si>
  <si>
    <t xml:space="preserve">(poistné z NÚP) - osobitný účet </t>
  </si>
  <si>
    <t xml:space="preserve">(poistné od ost. platiteľov) - osobitný účet </t>
  </si>
  <si>
    <t xml:space="preserve">(poistné zo Soc.poisťovne) - osobitný účet </t>
  </si>
  <si>
    <t xml:space="preserve">dlžné poistné z FNM za ŽSR pre SZP </t>
  </si>
  <si>
    <t>výsledok prerozdelenia</t>
  </si>
  <si>
    <t>zo ŠR  (príspevok - §48 ods.1 písm.b)</t>
  </si>
  <si>
    <t xml:space="preserve">z FNM celkom, z toho: </t>
  </si>
  <si>
    <t xml:space="preserve">   - účel.fin.prostr.na zníž.záv.ZP na zdrav.star.</t>
  </si>
  <si>
    <t xml:space="preserve">   - vzáj.vysp.záv.a pohľ. so SP, zdrav. zar.</t>
  </si>
  <si>
    <t xml:space="preserve">    - mimorozp.zdroje VŠZP (Perspektíva)</t>
  </si>
  <si>
    <t>ostatné celkom</t>
  </si>
  <si>
    <t>Cudzie zdroje:</t>
  </si>
  <si>
    <t>zo ŠR -  návratná finančná výpomoc</t>
  </si>
  <si>
    <t xml:space="preserve">            - dotácia</t>
  </si>
  <si>
    <t xml:space="preserve">            - garancia</t>
  </si>
  <si>
    <t>bankové úvery, pôžičky</t>
  </si>
  <si>
    <t>Pohľadávky celkom, z toho:</t>
  </si>
  <si>
    <t>Pohľadávky -  na poistnom</t>
  </si>
  <si>
    <t xml:space="preserve">                  -  na penále a pokutách</t>
  </si>
  <si>
    <t xml:space="preserve">                  -  nevyúčtované preddavky </t>
  </si>
  <si>
    <t xml:space="preserve">                  -  voči osobit.úč.(po prerozd.) </t>
  </si>
  <si>
    <t>VÝDAVKY CELKOM</t>
  </si>
  <si>
    <t>Výdavky bez splátok NFV ,úver.a pôž.</t>
  </si>
  <si>
    <t>základný fond, z toho:</t>
  </si>
  <si>
    <t xml:space="preserve">       splácanie úverov, pôžičiek</t>
  </si>
  <si>
    <t xml:space="preserve">       splácanie NFV</t>
  </si>
  <si>
    <t>rezervný fond</t>
  </si>
  <si>
    <t>účelový fond</t>
  </si>
  <si>
    <t>správny fond, z toho:</t>
  </si>
  <si>
    <t>ostatné</t>
  </si>
  <si>
    <t>x</t>
  </si>
  <si>
    <t>Záväzky celkom, z toho:</t>
  </si>
  <si>
    <t xml:space="preserve">              k zdrav.zariadeniam</t>
  </si>
  <si>
    <t xml:space="preserve">              k lekárňam a výdajniam ZP</t>
  </si>
  <si>
    <t xml:space="preserve">              návratné finančné výpomoci</t>
  </si>
  <si>
    <t xml:space="preserve">              voči osobit.účtu (po prerozd.)</t>
  </si>
  <si>
    <t xml:space="preserve">              bankové úvery a pôžičky</t>
  </si>
  <si>
    <t>ROZDIEL PRÍJMOV A VÝDAVKOV CELKOM</t>
  </si>
  <si>
    <t xml:space="preserve">ROZDIEL PRÍJMOV A VÝD. BEŽNÉHO ROKA </t>
  </si>
  <si>
    <t>Rozd.príj.a výd.b.r.(bez cudz.príj.a výd.vr.priv.)</t>
  </si>
  <si>
    <t xml:space="preserve">x    Výsledky sú bez údajov za Družstevnú zdravotnú poisťovňu Perspektíva </t>
  </si>
  <si>
    <t>xx  Hodnoty sú bez údajov osobitného účtu povinného zdravotného poistenia</t>
  </si>
  <si>
    <t>Hospodárenie v zdravotnom poistení v roku 2002</t>
  </si>
  <si>
    <t>Ministerstvo financií SR</t>
  </si>
  <si>
    <t>(v mil. Sk)</t>
  </si>
  <si>
    <t>skutočnosť 2002</t>
  </si>
  <si>
    <t>v zmysle</t>
  </si>
  <si>
    <t>skut.2002/</t>
  </si>
  <si>
    <t>návrhu.úč.záv.</t>
  </si>
  <si>
    <t>vlád.rozpočtu</t>
  </si>
  <si>
    <r>
      <t xml:space="preserve">PRÍJMY  SPOLU (AI.+AII.) </t>
    </r>
    <r>
      <rPr>
        <sz val="18"/>
        <color indexed="8"/>
        <rFont val="Arial CE"/>
        <family val="0"/>
      </rPr>
      <t>( vrátane prevodu z min. obdobia)</t>
    </r>
  </si>
  <si>
    <r>
      <t xml:space="preserve">celkový výber </t>
    </r>
    <r>
      <rPr>
        <i/>
        <sz val="18"/>
        <color indexed="8"/>
        <rFont val="Arial CE"/>
        <family val="0"/>
      </rPr>
      <t xml:space="preserve"> (ZF,GF vr. dlžných súm,ostatných príjmov GF)</t>
    </r>
  </si>
  <si>
    <t xml:space="preserve">                   úhrada dlžných súm z príspevkov</t>
  </si>
  <si>
    <t xml:space="preserve">                   príjmy z pohľadávok z vyp. peň.náhrad GF,ostatné príjmy</t>
  </si>
  <si>
    <r>
      <t xml:space="preserve">Iné príjmy </t>
    </r>
    <r>
      <rPr>
        <i/>
        <sz val="18"/>
        <color indexed="8"/>
        <rFont val="Arial CE"/>
        <family val="0"/>
      </rPr>
      <t>(úroky,penále, odvody, splátky....)</t>
    </r>
    <r>
      <rPr>
        <b/>
        <i/>
        <sz val="18"/>
        <color indexed="8"/>
        <rFont val="Arial CE"/>
        <family val="0"/>
      </rPr>
      <t xml:space="preserve"> </t>
    </r>
  </si>
  <si>
    <r>
      <t xml:space="preserve">Cudzie zdroje </t>
    </r>
    <r>
      <rPr>
        <sz val="18"/>
        <color indexed="8"/>
        <rFont val="Arial CE"/>
        <family val="0"/>
      </rPr>
      <t>( návratná finančná výpomoc)</t>
    </r>
  </si>
  <si>
    <t xml:space="preserve"> DVPPMDN a Programy podpory mladých  fin.zo ŠR)*</t>
  </si>
  <si>
    <t xml:space="preserve"> náhrada cestovných výdavkov fin. zo ŠR</t>
  </si>
  <si>
    <t>dohodnuté prac. miesto pre absolventa školy fin. zo ŠR</t>
  </si>
  <si>
    <t>* - údaje k 31.12. 2002- zdroj NÚP</t>
  </si>
  <si>
    <t xml:space="preserve">(výber poistného) - osob.účet </t>
  </si>
  <si>
    <t xml:space="preserve">príjmy z výberu poistného (kumul.ZP)  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</si>
</sst>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"/>
    <numFmt numFmtId="165" formatCode="d/m/yy"/>
    <numFmt numFmtId="166" formatCode="d/m/yy;@"/>
    <numFmt numFmtId="167" formatCode="dd\.mm\.yy"/>
    <numFmt numFmtId="168" formatCode="#,##0_);\(#,##0\)"/>
    <numFmt numFmtId="169" formatCode="#,##0.0_);\(#,##0.0\)"/>
    <numFmt numFmtId="170" formatCode="0.0"/>
    <numFmt numFmtId="171" formatCode="#,##0.0"/>
  </numFmts>
  <fonts count="27">
    <font>
      <sz val="10"/>
      <name val="Arial"/>
      <family val="0"/>
    </font>
    <font>
      <sz val="8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8"/>
      <color indexed="8"/>
      <name val="Arial CE"/>
      <family val="0"/>
    </font>
    <font>
      <sz val="12"/>
      <name val="Arial"/>
      <family val="0"/>
    </font>
    <font>
      <b/>
      <i/>
      <sz val="20"/>
      <color indexed="8"/>
      <name val="Arial CE"/>
      <family val="0"/>
    </font>
    <font>
      <b/>
      <i/>
      <sz val="14"/>
      <color indexed="8"/>
      <name val="Arial CE"/>
      <family val="0"/>
    </font>
    <font>
      <sz val="14"/>
      <color indexed="8"/>
      <name val="Arial CE"/>
      <family val="0"/>
    </font>
    <font>
      <sz val="16"/>
      <color indexed="8"/>
      <name val="Arial CE"/>
      <family val="0"/>
    </font>
    <font>
      <b/>
      <sz val="20"/>
      <color indexed="8"/>
      <name val="Arial CE"/>
      <family val="0"/>
    </font>
    <font>
      <b/>
      <sz val="16"/>
      <color indexed="8"/>
      <name val="Arial CE"/>
      <family val="0"/>
    </font>
    <font>
      <b/>
      <sz val="18"/>
      <color indexed="8"/>
      <name val="Arial CE"/>
      <family val="0"/>
    </font>
    <font>
      <b/>
      <i/>
      <sz val="18"/>
      <color indexed="8"/>
      <name val="Arial CE"/>
      <family val="0"/>
    </font>
    <font>
      <i/>
      <sz val="18"/>
      <color indexed="8"/>
      <name val="Arial CE"/>
      <family val="0"/>
    </font>
    <font>
      <b/>
      <sz val="18"/>
      <color indexed="8"/>
      <name val="Times New Roman CE"/>
      <family val="0"/>
    </font>
    <font>
      <b/>
      <sz val="14"/>
      <color indexed="8"/>
      <name val="Arial CE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double">
        <color indexed="8"/>
      </bottom>
    </border>
    <border>
      <left style="thick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double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double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ck">
        <color indexed="8"/>
      </left>
      <right style="medium"/>
      <top style="thick">
        <color indexed="8"/>
      </top>
      <bottom>
        <color indexed="63"/>
      </bottom>
    </border>
    <border>
      <left style="thick">
        <color indexed="8"/>
      </left>
      <right style="medium"/>
      <top>
        <color indexed="63"/>
      </top>
      <bottom>
        <color indexed="63"/>
      </bottom>
    </border>
    <border>
      <left style="thick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double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8" fillId="3" borderId="0" xfId="0" applyFont="1" applyFill="1" applyAlignment="1" applyProtection="1">
      <alignment/>
      <protection/>
    </xf>
    <xf numFmtId="0" fontId="3" fillId="0" borderId="0" xfId="0" applyFont="1" applyAlignment="1">
      <alignment horizontal="center"/>
    </xf>
    <xf numFmtId="0" fontId="9" fillId="3" borderId="0" xfId="0" applyFont="1" applyFill="1" applyAlignment="1" applyProtection="1">
      <alignment/>
      <protection/>
    </xf>
    <xf numFmtId="0" fontId="10" fillId="3" borderId="0" xfId="0" applyFont="1" applyFill="1" applyAlignment="1">
      <alignment/>
    </xf>
    <xf numFmtId="0" fontId="3" fillId="0" borderId="0" xfId="0" applyFont="1" applyAlignment="1">
      <alignment horizontal="left"/>
    </xf>
    <xf numFmtId="0" fontId="10" fillId="3" borderId="0" xfId="0" applyFont="1" applyFill="1" applyAlignment="1" applyProtection="1">
      <alignment/>
      <protection/>
    </xf>
    <xf numFmtId="0" fontId="3" fillId="0" borderId="0" xfId="0" applyFont="1" applyAlignment="1">
      <alignment horizontal="right"/>
    </xf>
    <xf numFmtId="0" fontId="11" fillId="3" borderId="0" xfId="0" applyFont="1" applyFill="1" applyAlignment="1" applyProtection="1">
      <alignment/>
      <protection/>
    </xf>
    <xf numFmtId="0" fontId="11" fillId="3" borderId="0" xfId="0" applyFont="1" applyFill="1" applyAlignment="1">
      <alignment/>
    </xf>
    <xf numFmtId="0" fontId="3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/>
      <protection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/>
      <protection/>
    </xf>
    <xf numFmtId="0" fontId="9" fillId="3" borderId="2" xfId="0" applyFont="1" applyFill="1" applyBorder="1" applyAlignment="1" applyProtection="1">
      <alignment horizontal="center"/>
      <protection/>
    </xf>
    <xf numFmtId="0" fontId="3" fillId="3" borderId="2" xfId="0" applyFont="1" applyFill="1" applyBorder="1" applyAlignment="1" applyProtection="1">
      <alignment horizontal="center"/>
      <protection/>
    </xf>
    <xf numFmtId="0" fontId="3" fillId="3" borderId="3" xfId="0" applyFont="1" applyFill="1" applyBorder="1" applyAlignment="1" applyProtection="1">
      <alignment/>
      <protection/>
    </xf>
    <xf numFmtId="0" fontId="9" fillId="3" borderId="3" xfId="0" applyFont="1" applyFill="1" applyBorder="1" applyAlignment="1" applyProtection="1">
      <alignment horizontal="center"/>
      <protection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 applyProtection="1">
      <alignment horizontal="center"/>
      <protection/>
    </xf>
    <xf numFmtId="0" fontId="9" fillId="3" borderId="4" xfId="0" applyFont="1" applyFill="1" applyBorder="1" applyAlignment="1">
      <alignment horizontal="center"/>
    </xf>
    <xf numFmtId="0" fontId="3" fillId="3" borderId="4" xfId="0" applyFont="1" applyFill="1" applyBorder="1" applyAlignment="1" applyProtection="1">
      <alignment/>
      <protection/>
    </xf>
    <xf numFmtId="49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9" fillId="4" borderId="3" xfId="0" applyFont="1" applyFill="1" applyBorder="1" applyAlignment="1" applyProtection="1">
      <alignment horizontal="center"/>
      <protection/>
    </xf>
    <xf numFmtId="0" fontId="9" fillId="4" borderId="7" xfId="0" applyFont="1" applyFill="1" applyBorder="1" applyAlignment="1" applyProtection="1">
      <alignment/>
      <protection/>
    </xf>
    <xf numFmtId="169" fontId="9" fillId="4" borderId="7" xfId="0" applyNumberFormat="1" applyFont="1" applyFill="1" applyBorder="1" applyAlignment="1" applyProtection="1">
      <alignment/>
      <protection/>
    </xf>
    <xf numFmtId="169" fontId="3" fillId="4" borderId="7" xfId="0" applyNumberFormat="1" applyFont="1" applyFill="1" applyBorder="1" applyAlignment="1" applyProtection="1">
      <alignment/>
      <protection/>
    </xf>
    <xf numFmtId="0" fontId="9" fillId="5" borderId="4" xfId="0" applyFont="1" applyFill="1" applyBorder="1" applyAlignment="1" applyProtection="1">
      <alignment horizontal="center"/>
      <protection/>
    </xf>
    <xf numFmtId="0" fontId="9" fillId="5" borderId="4" xfId="0" applyFont="1" applyFill="1" applyBorder="1" applyAlignment="1" applyProtection="1">
      <alignment/>
      <protection/>
    </xf>
    <xf numFmtId="169" fontId="9" fillId="4" borderId="4" xfId="0" applyNumberFormat="1" applyFont="1" applyFill="1" applyBorder="1" applyAlignment="1" applyProtection="1">
      <alignment/>
      <protection/>
    </xf>
    <xf numFmtId="169" fontId="3" fillId="4" borderId="8" xfId="0" applyNumberFormat="1" applyFont="1" applyFill="1" applyBorder="1" applyAlignment="1" applyProtection="1">
      <alignment/>
      <protection/>
    </xf>
    <xf numFmtId="0" fontId="9" fillId="3" borderId="9" xfId="0" applyFont="1" applyFill="1" applyBorder="1" applyAlignment="1" applyProtection="1">
      <alignment/>
      <protection/>
    </xf>
    <xf numFmtId="169" fontId="9" fillId="3" borderId="10" xfId="0" applyNumberFormat="1" applyFont="1" applyFill="1" applyBorder="1" applyAlignment="1" applyProtection="1">
      <alignment/>
      <protection/>
    </xf>
    <xf numFmtId="169" fontId="3" fillId="3" borderId="10" xfId="0" applyNumberFormat="1" applyFont="1" applyFill="1" applyBorder="1" applyAlignment="1" applyProtection="1">
      <alignment/>
      <protection/>
    </xf>
    <xf numFmtId="49" fontId="9" fillId="3" borderId="3" xfId="0" applyNumberFormat="1" applyFont="1" applyFill="1" applyBorder="1" applyAlignment="1" applyProtection="1">
      <alignment horizontal="right"/>
      <protection/>
    </xf>
    <xf numFmtId="169" fontId="9" fillId="3" borderId="9" xfId="0" applyNumberFormat="1" applyFont="1" applyFill="1" applyBorder="1" applyAlignment="1" applyProtection="1">
      <alignment/>
      <protection/>
    </xf>
    <xf numFmtId="169" fontId="3" fillId="3" borderId="9" xfId="0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right"/>
      <protection/>
    </xf>
    <xf numFmtId="0" fontId="3" fillId="3" borderId="9" xfId="0" applyFont="1" applyFill="1" applyBorder="1" applyAlignment="1" applyProtection="1">
      <alignment/>
      <protection/>
    </xf>
    <xf numFmtId="49" fontId="3" fillId="3" borderId="3" xfId="0" applyNumberFormat="1" applyFont="1" applyFill="1" applyBorder="1" applyAlignment="1" applyProtection="1">
      <alignment horizontal="right"/>
      <protection/>
    </xf>
    <xf numFmtId="169" fontId="3" fillId="3" borderId="11" xfId="0" applyNumberFormat="1" applyFont="1" applyFill="1" applyBorder="1" applyAlignment="1" applyProtection="1">
      <alignment/>
      <protection/>
    </xf>
    <xf numFmtId="168" fontId="9" fillId="3" borderId="9" xfId="0" applyNumberFormat="1" applyFont="1" applyFill="1" applyBorder="1" applyAlignment="1" applyProtection="1">
      <alignment/>
      <protection/>
    </xf>
    <xf numFmtId="1" fontId="3" fillId="3" borderId="9" xfId="0" applyNumberFormat="1" applyFont="1" applyFill="1" applyBorder="1" applyAlignment="1" applyProtection="1">
      <alignment/>
      <protection/>
    </xf>
    <xf numFmtId="0" fontId="11" fillId="4" borderId="9" xfId="0" applyFont="1" applyFill="1" applyBorder="1" applyAlignment="1" applyProtection="1">
      <alignment horizontal="left" indent="3"/>
      <protection/>
    </xf>
    <xf numFmtId="169" fontId="11" fillId="4" borderId="11" xfId="0" applyNumberFormat="1" applyFont="1" applyFill="1" applyBorder="1" applyAlignment="1" applyProtection="1">
      <alignment/>
      <protection/>
    </xf>
    <xf numFmtId="169" fontId="3" fillId="4" borderId="9" xfId="0" applyNumberFormat="1" applyFont="1" applyFill="1" applyBorder="1" applyAlignment="1" applyProtection="1">
      <alignment/>
      <protection/>
    </xf>
    <xf numFmtId="0" fontId="9" fillId="6" borderId="3" xfId="0" applyFont="1" applyFill="1" applyBorder="1" applyAlignment="1" applyProtection="1">
      <alignment horizontal="right"/>
      <protection/>
    </xf>
    <xf numFmtId="0" fontId="11" fillId="7" borderId="9" xfId="0" applyFont="1" applyFill="1" applyBorder="1" applyAlignment="1" applyProtection="1">
      <alignment horizontal="left"/>
      <protection/>
    </xf>
    <xf numFmtId="169" fontId="11" fillId="7" borderId="9" xfId="0" applyNumberFormat="1" applyFont="1" applyFill="1" applyBorder="1" applyAlignment="1" applyProtection="1">
      <alignment/>
      <protection/>
    </xf>
    <xf numFmtId="169" fontId="9" fillId="6" borderId="9" xfId="0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/>
      <protection/>
    </xf>
    <xf numFmtId="168" fontId="3" fillId="3" borderId="9" xfId="0" applyNumberFormat="1" applyFont="1" applyFill="1" applyBorder="1" applyAlignment="1" applyProtection="1">
      <alignment/>
      <protection/>
    </xf>
    <xf numFmtId="0" fontId="9" fillId="3" borderId="5" xfId="0" applyFont="1" applyFill="1" applyBorder="1" applyAlignment="1" applyProtection="1">
      <alignment/>
      <protection/>
    </xf>
    <xf numFmtId="169" fontId="9" fillId="3" borderId="5" xfId="0" applyNumberFormat="1" applyFont="1" applyFill="1" applyBorder="1" applyAlignment="1" applyProtection="1">
      <alignment/>
      <protection/>
    </xf>
    <xf numFmtId="169" fontId="3" fillId="3" borderId="5" xfId="0" applyNumberFormat="1" applyFont="1" applyFill="1" applyBorder="1" applyAlignment="1" applyProtection="1">
      <alignment/>
      <protection/>
    </xf>
    <xf numFmtId="0" fontId="9" fillId="4" borderId="12" xfId="0" applyFont="1" applyFill="1" applyBorder="1" applyAlignment="1" applyProtection="1">
      <alignment horizontal="center"/>
      <protection/>
    </xf>
    <xf numFmtId="0" fontId="9" fillId="4" borderId="12" xfId="0" applyFont="1" applyFill="1" applyBorder="1" applyAlignment="1" applyProtection="1">
      <alignment/>
      <protection/>
    </xf>
    <xf numFmtId="169" fontId="9" fillId="4" borderId="12" xfId="0" applyNumberFormat="1" applyFont="1" applyFill="1" applyBorder="1" applyAlignment="1" applyProtection="1">
      <alignment/>
      <protection/>
    </xf>
    <xf numFmtId="169" fontId="3" fillId="4" borderId="12" xfId="0" applyNumberFormat="1" applyFont="1" applyFill="1" applyBorder="1" applyAlignment="1" applyProtection="1">
      <alignment/>
      <protection/>
    </xf>
    <xf numFmtId="0" fontId="3" fillId="3" borderId="7" xfId="0" applyFont="1" applyFill="1" applyBorder="1" applyAlignment="1" applyProtection="1">
      <alignment/>
      <protection/>
    </xf>
    <xf numFmtId="169" fontId="3" fillId="3" borderId="7" xfId="0" applyNumberFormat="1" applyFont="1" applyFill="1" applyBorder="1" applyAlignment="1" applyProtection="1">
      <alignment/>
      <protection/>
    </xf>
    <xf numFmtId="0" fontId="9" fillId="3" borderId="3" xfId="0" applyFont="1" applyFill="1" applyBorder="1" applyAlignment="1" applyProtection="1">
      <alignment horizontal="right"/>
      <protection/>
    </xf>
    <xf numFmtId="0" fontId="9" fillId="3" borderId="3" xfId="0" applyFont="1" applyFill="1" applyBorder="1" applyAlignment="1" applyProtection="1">
      <alignment/>
      <protection/>
    </xf>
    <xf numFmtId="168" fontId="9" fillId="3" borderId="5" xfId="0" applyNumberFormat="1" applyFont="1" applyFill="1" applyBorder="1" applyAlignment="1" applyProtection="1">
      <alignment/>
      <protection/>
    </xf>
    <xf numFmtId="169" fontId="9" fillId="3" borderId="3" xfId="0" applyNumberFormat="1" applyFont="1" applyFill="1" applyBorder="1" applyAlignment="1" applyProtection="1">
      <alignment/>
      <protection/>
    </xf>
    <xf numFmtId="169" fontId="3" fillId="3" borderId="3" xfId="0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left"/>
      <protection/>
    </xf>
    <xf numFmtId="0" fontId="9" fillId="3" borderId="3" xfId="0" applyFont="1" applyFill="1" applyBorder="1" applyAlignment="1" applyProtection="1">
      <alignment horizontal="left"/>
      <protection/>
    </xf>
    <xf numFmtId="0" fontId="9" fillId="3" borderId="10" xfId="0" applyFont="1" applyFill="1" applyBorder="1" applyAlignment="1" applyProtection="1">
      <alignment/>
      <protection/>
    </xf>
    <xf numFmtId="0" fontId="9" fillId="3" borderId="9" xfId="0" applyFont="1" applyFill="1" applyBorder="1" applyAlignment="1" applyProtection="1">
      <alignment horizontal="left"/>
      <protection/>
    </xf>
    <xf numFmtId="0" fontId="3" fillId="3" borderId="9" xfId="0" applyFont="1" applyFill="1" applyBorder="1" applyAlignment="1" applyProtection="1">
      <alignment horizontal="left"/>
      <protection/>
    </xf>
    <xf numFmtId="169" fontId="3" fillId="3" borderId="9" xfId="0" applyNumberFormat="1" applyFont="1" applyFill="1" applyBorder="1" applyAlignment="1" applyProtection="1">
      <alignment horizontal="right"/>
      <protection/>
    </xf>
    <xf numFmtId="169" fontId="3" fillId="3" borderId="9" xfId="0" applyNumberFormat="1" applyFont="1" applyFill="1" applyBorder="1" applyAlignment="1" applyProtection="1">
      <alignment horizontal="center"/>
      <protection/>
    </xf>
    <xf numFmtId="0" fontId="9" fillId="3" borderId="4" xfId="0" applyFont="1" applyFill="1" applyBorder="1" applyAlignment="1" applyProtection="1">
      <alignment horizontal="right"/>
      <protection/>
    </xf>
    <xf numFmtId="0" fontId="9" fillId="3" borderId="8" xfId="0" applyFont="1" applyFill="1" applyBorder="1" applyAlignment="1" applyProtection="1">
      <alignment/>
      <protection/>
    </xf>
    <xf numFmtId="169" fontId="9" fillId="3" borderId="8" xfId="0" applyNumberFormat="1" applyFont="1" applyFill="1" applyBorder="1" applyAlignment="1" applyProtection="1">
      <alignment/>
      <protection/>
    </xf>
    <xf numFmtId="169" fontId="3" fillId="3" borderId="8" xfId="0" applyNumberFormat="1" applyFont="1" applyFill="1" applyBorder="1" applyAlignment="1" applyProtection="1">
      <alignment/>
      <protection/>
    </xf>
    <xf numFmtId="168" fontId="9" fillId="3" borderId="7" xfId="0" applyNumberFormat="1" applyFont="1" applyFill="1" applyBorder="1" applyAlignment="1" applyProtection="1">
      <alignment/>
      <protection/>
    </xf>
    <xf numFmtId="0" fontId="9" fillId="4" borderId="2" xfId="0" applyFont="1" applyFill="1" applyBorder="1" applyAlignment="1" applyProtection="1">
      <alignment horizontal="center"/>
      <protection/>
    </xf>
    <xf numFmtId="0" fontId="9" fillId="4" borderId="4" xfId="0" applyFont="1" applyFill="1" applyBorder="1" applyAlignment="1" applyProtection="1">
      <alignment horizontal="center"/>
      <protection/>
    </xf>
    <xf numFmtId="0" fontId="9" fillId="4" borderId="8" xfId="0" applyFont="1" applyFill="1" applyBorder="1" applyAlignment="1" applyProtection="1">
      <alignment/>
      <protection/>
    </xf>
    <xf numFmtId="169" fontId="9" fillId="4" borderId="8" xfId="0" applyNumberFormat="1" applyFont="1" applyFill="1" applyBorder="1" applyAlignment="1" applyProtection="1">
      <alignment/>
      <protection/>
    </xf>
    <xf numFmtId="0" fontId="3" fillId="3" borderId="2" xfId="0" applyFont="1" applyFill="1" applyBorder="1" applyAlignment="1" applyProtection="1">
      <alignment horizontal="left" vertical="center"/>
      <protection/>
    </xf>
    <xf numFmtId="0" fontId="9" fillId="3" borderId="4" xfId="0" applyFont="1" applyFill="1" applyBorder="1" applyAlignment="1" applyProtection="1">
      <alignment horizontal="left" vertical="center"/>
      <protection/>
    </xf>
    <xf numFmtId="0" fontId="3" fillId="3" borderId="3" xfId="0" applyFont="1" applyFill="1" applyBorder="1" applyAlignment="1" applyProtection="1">
      <alignment horizontal="left" vertical="center"/>
      <protection/>
    </xf>
    <xf numFmtId="168" fontId="9" fillId="3" borderId="8" xfId="0" applyNumberFormat="1" applyFont="1" applyFill="1" applyBorder="1" applyAlignment="1" applyProtection="1">
      <alignment/>
      <protection/>
    </xf>
    <xf numFmtId="0" fontId="9" fillId="3" borderId="12" xfId="0" applyFont="1" applyFill="1" applyBorder="1" applyAlignment="1" applyProtection="1">
      <alignment horizontal="left" vertical="center"/>
      <protection/>
    </xf>
    <xf numFmtId="169" fontId="9" fillId="3" borderId="12" xfId="0" applyNumberFormat="1" applyFont="1" applyFill="1" applyBorder="1" applyAlignment="1" applyProtection="1">
      <alignment/>
      <protection/>
    </xf>
    <xf numFmtId="169" fontId="3" fillId="3" borderId="12" xfId="0" applyNumberFormat="1" applyFont="1" applyFill="1" applyBorder="1" applyAlignment="1" applyProtection="1">
      <alignment/>
      <protection/>
    </xf>
    <xf numFmtId="0" fontId="9" fillId="3" borderId="2" xfId="0" applyFont="1" applyFill="1" applyBorder="1" applyAlignment="1" applyProtection="1">
      <alignment horizontal="left" vertical="center"/>
      <protection/>
    </xf>
    <xf numFmtId="168" fontId="3" fillId="3" borderId="7" xfId="0" applyNumberFormat="1" applyFont="1" applyFill="1" applyBorder="1" applyAlignment="1" applyProtection="1">
      <alignment/>
      <protection/>
    </xf>
    <xf numFmtId="170" fontId="3" fillId="3" borderId="7" xfId="0" applyNumberFormat="1" applyFont="1" applyFill="1" applyBorder="1" applyAlignment="1" applyProtection="1">
      <alignment horizontal="right"/>
      <protection/>
    </xf>
    <xf numFmtId="168" fontId="9" fillId="3" borderId="4" xfId="0" applyNumberFormat="1" applyFont="1" applyFill="1" applyBorder="1" applyAlignment="1" applyProtection="1">
      <alignment/>
      <protection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 horizontal="left"/>
    </xf>
    <xf numFmtId="0" fontId="9" fillId="0" borderId="0" xfId="0" applyFont="1" applyAlignment="1">
      <alignment horizontal="right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/>
    </xf>
    <xf numFmtId="171" fontId="3" fillId="3" borderId="0" xfId="0" applyNumberFormat="1" applyFont="1" applyFill="1" applyAlignment="1">
      <alignment horizontal="right"/>
    </xf>
    <xf numFmtId="0" fontId="13" fillId="3" borderId="0" xfId="0" applyFont="1" applyFill="1" applyAlignment="1">
      <alignment horizontal="right"/>
    </xf>
    <xf numFmtId="0" fontId="13" fillId="3" borderId="0" xfId="0" applyFont="1" applyFill="1" applyAlignment="1">
      <alignment/>
    </xf>
    <xf numFmtId="171" fontId="13" fillId="3" borderId="0" xfId="0" applyNumberFormat="1" applyFont="1" applyFill="1" applyAlignment="1">
      <alignment horizontal="right"/>
    </xf>
    <xf numFmtId="0" fontId="9" fillId="3" borderId="0" xfId="0" applyFont="1" applyFill="1" applyAlignment="1">
      <alignment/>
    </xf>
    <xf numFmtId="0" fontId="9" fillId="3" borderId="0" xfId="0" applyFont="1" applyFill="1" applyAlignment="1">
      <alignment horizontal="right"/>
    </xf>
    <xf numFmtId="171" fontId="9" fillId="0" borderId="0" xfId="0" applyNumberFormat="1" applyFont="1" applyAlignment="1">
      <alignment/>
    </xf>
    <xf numFmtId="0" fontId="3" fillId="0" borderId="0" xfId="0" applyFont="1" applyAlignment="1" applyProtection="1">
      <alignment/>
      <protection/>
    </xf>
    <xf numFmtId="0" fontId="9" fillId="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/>
      <protection/>
    </xf>
    <xf numFmtId="169" fontId="5" fillId="3" borderId="13" xfId="0" applyNumberFormat="1" applyFont="1" applyFill="1" applyBorder="1" applyAlignment="1" applyProtection="1">
      <alignment horizontal="center"/>
      <protection/>
    </xf>
    <xf numFmtId="169" fontId="5" fillId="3" borderId="14" xfId="0" applyNumberFormat="1" applyFont="1" applyFill="1" applyBorder="1" applyAlignment="1" applyProtection="1">
      <alignment horizontal="center" vertical="center"/>
      <protection/>
    </xf>
    <xf numFmtId="169" fontId="5" fillId="3" borderId="9" xfId="0" applyNumberFormat="1" applyFont="1" applyFill="1" applyBorder="1" applyAlignment="1" applyProtection="1">
      <alignment horizontal="center"/>
      <protection/>
    </xf>
    <xf numFmtId="169" fontId="5" fillId="3" borderId="15" xfId="0" applyNumberFormat="1" applyFont="1" applyFill="1" applyBorder="1" applyAlignment="1" applyProtection="1">
      <alignment horizontal="center" vertical="center"/>
      <protection/>
    </xf>
    <xf numFmtId="169" fontId="5" fillId="3" borderId="9" xfId="0" applyNumberFormat="1" applyFont="1" applyFill="1" applyBorder="1" applyAlignment="1" applyProtection="1">
      <alignment horizontal="center" vertical="center"/>
      <protection/>
    </xf>
    <xf numFmtId="169" fontId="5" fillId="3" borderId="16" xfId="0" applyNumberFormat="1" applyFont="1" applyFill="1" applyBorder="1" applyAlignment="1" applyProtection="1">
      <alignment horizontal="center" vertical="center"/>
      <protection/>
    </xf>
    <xf numFmtId="168" fontId="5" fillId="3" borderId="8" xfId="0" applyNumberFormat="1" applyFont="1" applyFill="1" applyBorder="1" applyAlignment="1" applyProtection="1">
      <alignment horizontal="center" vertical="center"/>
      <protection/>
    </xf>
    <xf numFmtId="49" fontId="5" fillId="3" borderId="16" xfId="0" applyNumberFormat="1" applyFont="1" applyFill="1" applyBorder="1" applyAlignment="1" applyProtection="1">
      <alignment horizontal="center" vertical="center"/>
      <protection/>
    </xf>
    <xf numFmtId="168" fontId="5" fillId="3" borderId="9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49" fontId="5" fillId="3" borderId="18" xfId="0" applyNumberFormat="1" applyFont="1" applyFill="1" applyBorder="1" applyAlignment="1" applyProtection="1">
      <alignment horizontal="center" vertical="center"/>
      <protection/>
    </xf>
    <xf numFmtId="49" fontId="5" fillId="3" borderId="19" xfId="0" applyNumberFormat="1" applyFont="1" applyFill="1" applyBorder="1" applyAlignment="1" applyProtection="1">
      <alignment horizontal="center" vertical="center"/>
      <protection/>
    </xf>
    <xf numFmtId="49" fontId="5" fillId="3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vertical="center"/>
      <protection/>
    </xf>
    <xf numFmtId="169" fontId="2" fillId="3" borderId="9" xfId="0" applyNumberFormat="1" applyFont="1" applyFill="1" applyBorder="1" applyAlignment="1" applyProtection="1">
      <alignment vertical="center"/>
      <protection/>
    </xf>
    <xf numFmtId="49" fontId="2" fillId="3" borderId="16" xfId="0" applyNumberFormat="1" applyFont="1" applyFill="1" applyBorder="1" applyAlignment="1" applyProtection="1">
      <alignment vertical="center"/>
      <protection/>
    </xf>
    <xf numFmtId="169" fontId="2" fillId="3" borderId="22" xfId="0" applyNumberFormat="1" applyFont="1" applyFill="1" applyBorder="1" applyAlignment="1" applyProtection="1">
      <alignment vertical="center"/>
      <protection/>
    </xf>
    <xf numFmtId="0" fontId="5" fillId="3" borderId="23" xfId="0" applyFont="1" applyFill="1" applyBorder="1" applyAlignment="1" applyProtection="1">
      <alignment vertical="center"/>
      <protection/>
    </xf>
    <xf numFmtId="169" fontId="5" fillId="3" borderId="12" xfId="0" applyNumberFormat="1" applyFont="1" applyFill="1" applyBorder="1" applyAlignment="1" applyProtection="1">
      <alignment vertical="center"/>
      <protection/>
    </xf>
    <xf numFmtId="169" fontId="5" fillId="3" borderId="24" xfId="0" applyNumberFormat="1" applyFont="1" applyFill="1" applyBorder="1" applyAlignment="1" applyProtection="1">
      <alignment vertical="center"/>
      <protection/>
    </xf>
    <xf numFmtId="169" fontId="5" fillId="3" borderId="25" xfId="0" applyNumberFormat="1" applyFont="1" applyFill="1" applyBorder="1" applyAlignment="1" applyProtection="1">
      <alignment vertical="center"/>
      <protection/>
    </xf>
    <xf numFmtId="0" fontId="5" fillId="8" borderId="26" xfId="0" applyFont="1" applyFill="1" applyBorder="1" applyAlignment="1" applyProtection="1">
      <alignment horizontal="left" vertical="center"/>
      <protection/>
    </xf>
    <xf numFmtId="169" fontId="2" fillId="8" borderId="7" xfId="0" applyNumberFormat="1" applyFont="1" applyFill="1" applyBorder="1" applyAlignment="1" applyProtection="1">
      <alignment/>
      <protection/>
    </xf>
    <xf numFmtId="169" fontId="2" fillId="3" borderId="16" xfId="0" applyNumberFormat="1" applyFont="1" applyFill="1" applyBorder="1" applyAlignment="1" applyProtection="1">
      <alignment/>
      <protection/>
    </xf>
    <xf numFmtId="169" fontId="2" fillId="8" borderId="27" xfId="0" applyNumberFormat="1" applyFont="1" applyFill="1" applyBorder="1" applyAlignment="1" applyProtection="1">
      <alignment/>
      <protection/>
    </xf>
    <xf numFmtId="169" fontId="2" fillId="3" borderId="9" xfId="0" applyNumberFormat="1" applyFont="1" applyFill="1" applyBorder="1" applyAlignment="1" applyProtection="1">
      <alignment/>
      <protection/>
    </xf>
    <xf numFmtId="0" fontId="5" fillId="8" borderId="21" xfId="0" applyFont="1" applyFill="1" applyBorder="1" applyAlignment="1" applyProtection="1">
      <alignment horizontal="left" vertical="center"/>
      <protection/>
    </xf>
    <xf numFmtId="169" fontId="2" fillId="8" borderId="9" xfId="0" applyNumberFormat="1" applyFont="1" applyFill="1" applyBorder="1" applyAlignment="1" applyProtection="1">
      <alignment/>
      <protection/>
    </xf>
    <xf numFmtId="169" fontId="2" fillId="8" borderId="22" xfId="0" applyNumberFormat="1" applyFont="1" applyFill="1" applyBorder="1" applyAlignment="1" applyProtection="1">
      <alignment/>
      <protection/>
    </xf>
    <xf numFmtId="0" fontId="5" fillId="3" borderId="28" xfId="0" applyFont="1" applyFill="1" applyBorder="1" applyAlignment="1" applyProtection="1">
      <alignment horizontal="left" vertical="center"/>
      <protection/>
    </xf>
    <xf numFmtId="169" fontId="2" fillId="3" borderId="8" xfId="0" applyNumberFormat="1" applyFont="1" applyFill="1" applyBorder="1" applyAlignment="1" applyProtection="1">
      <alignment vertical="center"/>
      <protection/>
    </xf>
    <xf numFmtId="169" fontId="2" fillId="3" borderId="29" xfId="0" applyNumberFormat="1" applyFont="1" applyFill="1" applyBorder="1" applyAlignment="1" applyProtection="1">
      <alignment vertical="center"/>
      <protection/>
    </xf>
    <xf numFmtId="0" fontId="5" fillId="3" borderId="23" xfId="0" applyFont="1" applyFill="1" applyBorder="1" applyAlignment="1" applyProtection="1">
      <alignment horizontal="left" vertical="center"/>
      <protection/>
    </xf>
    <xf numFmtId="169" fontId="2" fillId="3" borderId="24" xfId="0" applyNumberFormat="1" applyFont="1" applyFill="1" applyBorder="1" applyAlignment="1" applyProtection="1">
      <alignment/>
      <protection/>
    </xf>
    <xf numFmtId="169" fontId="2" fillId="3" borderId="30" xfId="0" applyNumberFormat="1" applyFont="1" applyFill="1" applyBorder="1" applyAlignment="1" applyProtection="1">
      <alignment/>
      <protection/>
    </xf>
    <xf numFmtId="169" fontId="2" fillId="3" borderId="25" xfId="0" applyNumberFormat="1" applyFont="1" applyFill="1" applyBorder="1" applyAlignment="1" applyProtection="1">
      <alignment/>
      <protection/>
    </xf>
    <xf numFmtId="169" fontId="2" fillId="3" borderId="12" xfId="0" applyNumberFormat="1" applyFont="1" applyFill="1" applyBorder="1" applyAlignment="1" applyProtection="1">
      <alignment/>
      <protection/>
    </xf>
    <xf numFmtId="169" fontId="5" fillId="3" borderId="12" xfId="0" applyNumberFormat="1" applyFont="1" applyFill="1" applyBorder="1" applyAlignment="1" applyProtection="1">
      <alignment/>
      <protection/>
    </xf>
    <xf numFmtId="169" fontId="5" fillId="3" borderId="31" xfId="0" applyNumberFormat="1" applyFont="1" applyFill="1" applyBorder="1" applyAlignment="1" applyProtection="1">
      <alignment vertical="center"/>
      <protection/>
    </xf>
    <xf numFmtId="169" fontId="5" fillId="3" borderId="31" xfId="0" applyNumberFormat="1" applyFont="1" applyFill="1" applyBorder="1" applyAlignment="1" applyProtection="1">
      <alignment/>
      <protection/>
    </xf>
    <xf numFmtId="169" fontId="5" fillId="3" borderId="25" xfId="0" applyNumberFormat="1" applyFont="1" applyFill="1" applyBorder="1" applyAlignment="1" applyProtection="1">
      <alignment/>
      <protection/>
    </xf>
    <xf numFmtId="169" fontId="2" fillId="8" borderId="32" xfId="0" applyNumberFormat="1" applyFont="1" applyFill="1" applyBorder="1" applyAlignment="1" applyProtection="1">
      <alignment/>
      <protection/>
    </xf>
    <xf numFmtId="0" fontId="5" fillId="9" borderId="21" xfId="0" applyFont="1" applyFill="1" applyBorder="1" applyAlignment="1" applyProtection="1">
      <alignment horizontal="left" vertical="center"/>
      <protection/>
    </xf>
    <xf numFmtId="169" fontId="2" fillId="9" borderId="9" xfId="0" applyNumberFormat="1" applyFont="1" applyFill="1" applyBorder="1" applyAlignment="1" applyProtection="1">
      <alignment/>
      <protection/>
    </xf>
    <xf numFmtId="169" fontId="2" fillId="10" borderId="16" xfId="0" applyNumberFormat="1" applyFont="1" applyFill="1" applyBorder="1" applyAlignment="1" applyProtection="1">
      <alignment/>
      <protection/>
    </xf>
    <xf numFmtId="169" fontId="2" fillId="9" borderId="33" xfId="0" applyNumberFormat="1" applyFont="1" applyFill="1" applyBorder="1" applyAlignment="1" applyProtection="1">
      <alignment/>
      <protection/>
    </xf>
    <xf numFmtId="169" fontId="2" fillId="9" borderId="22" xfId="0" applyNumberFormat="1" applyFont="1" applyFill="1" applyBorder="1" applyAlignment="1" applyProtection="1">
      <alignment/>
      <protection/>
    </xf>
    <xf numFmtId="169" fontId="2" fillId="10" borderId="9" xfId="0" applyNumberFormat="1" applyFont="1" applyFill="1" applyBorder="1" applyAlignment="1" applyProtection="1">
      <alignment/>
      <protection/>
    </xf>
    <xf numFmtId="169" fontId="2" fillId="3" borderId="8" xfId="0" applyNumberFormat="1" applyFont="1" applyFill="1" applyBorder="1" applyAlignment="1" applyProtection="1">
      <alignment/>
      <protection/>
    </xf>
    <xf numFmtId="169" fontId="2" fillId="3" borderId="29" xfId="0" applyNumberFormat="1" applyFont="1" applyFill="1" applyBorder="1" applyAlignment="1" applyProtection="1">
      <alignment/>
      <protection/>
    </xf>
    <xf numFmtId="0" fontId="5" fillId="3" borderId="26" xfId="0" applyFont="1" applyFill="1" applyBorder="1" applyAlignment="1" applyProtection="1">
      <alignment horizontal="left" vertical="center"/>
      <protection/>
    </xf>
    <xf numFmtId="169" fontId="2" fillId="3" borderId="7" xfId="0" applyNumberFormat="1" applyFont="1" applyFill="1" applyBorder="1" applyAlignment="1" applyProtection="1">
      <alignment/>
      <protection/>
    </xf>
    <xf numFmtId="169" fontId="2" fillId="3" borderId="34" xfId="0" applyNumberFormat="1" applyFont="1" applyFill="1" applyBorder="1" applyAlignment="1" applyProtection="1">
      <alignment/>
      <protection/>
    </xf>
    <xf numFmtId="169" fontId="2" fillId="3" borderId="27" xfId="0" applyNumberFormat="1" applyFont="1" applyFill="1" applyBorder="1" applyAlignment="1" applyProtection="1">
      <alignment/>
      <protection/>
    </xf>
    <xf numFmtId="169" fontId="2" fillId="3" borderId="35" xfId="0" applyNumberFormat="1" applyFont="1" applyFill="1" applyBorder="1" applyAlignment="1" applyProtection="1">
      <alignment/>
      <protection/>
    </xf>
    <xf numFmtId="0" fontId="5" fillId="3" borderId="36" xfId="0" applyFont="1" applyFill="1" applyBorder="1" applyAlignment="1" applyProtection="1">
      <alignment vertical="center"/>
      <protection/>
    </xf>
    <xf numFmtId="169" fontId="5" fillId="3" borderId="10" xfId="0" applyNumberFormat="1" applyFont="1" applyFill="1" applyBorder="1" applyAlignment="1" applyProtection="1">
      <alignment/>
      <protection/>
    </xf>
    <xf numFmtId="169" fontId="5" fillId="3" borderId="15" xfId="0" applyNumberFormat="1" applyFont="1" applyFill="1" applyBorder="1" applyAlignment="1" applyProtection="1">
      <alignment/>
      <protection/>
    </xf>
    <xf numFmtId="169" fontId="5" fillId="3" borderId="10" xfId="0" applyNumberFormat="1" applyFont="1" applyFill="1" applyBorder="1" applyAlignment="1" applyProtection="1">
      <alignment vertical="center"/>
      <protection/>
    </xf>
    <xf numFmtId="169" fontId="5" fillId="3" borderId="37" xfId="0" applyNumberFormat="1" applyFont="1" applyFill="1" applyBorder="1" applyAlignment="1" applyProtection="1">
      <alignment vertical="center"/>
      <protection/>
    </xf>
    <xf numFmtId="169" fontId="5" fillId="3" borderId="9" xfId="0" applyNumberFormat="1" applyFont="1" applyFill="1" applyBorder="1" applyAlignment="1" applyProtection="1">
      <alignment/>
      <protection/>
    </xf>
    <xf numFmtId="169" fontId="5" fillId="3" borderId="16" xfId="0" applyNumberFormat="1" applyFont="1" applyFill="1" applyBorder="1" applyAlignment="1" applyProtection="1">
      <alignment/>
      <protection/>
    </xf>
    <xf numFmtId="0" fontId="5" fillId="3" borderId="21" xfId="0" applyFont="1" applyFill="1" applyBorder="1" applyAlignment="1" applyProtection="1">
      <alignment vertical="center"/>
      <protection/>
    </xf>
    <xf numFmtId="169" fontId="5" fillId="3" borderId="9" xfId="0" applyNumberFormat="1" applyFont="1" applyFill="1" applyBorder="1" applyAlignment="1" applyProtection="1">
      <alignment vertical="center"/>
      <protection/>
    </xf>
    <xf numFmtId="169" fontId="5" fillId="3" borderId="22" xfId="0" applyNumberFormat="1" applyFont="1" applyFill="1" applyBorder="1" applyAlignment="1" applyProtection="1">
      <alignment vertical="center"/>
      <protection/>
    </xf>
    <xf numFmtId="0" fontId="2" fillId="3" borderId="21" xfId="0" applyFont="1" applyFill="1" applyBorder="1" applyAlignment="1" applyProtection="1">
      <alignment vertical="center"/>
      <protection/>
    </xf>
    <xf numFmtId="169" fontId="2" fillId="3" borderId="16" xfId="0" applyNumberFormat="1" applyFont="1" applyFill="1" applyBorder="1" applyAlignment="1" applyProtection="1">
      <alignment vertical="center"/>
      <protection/>
    </xf>
    <xf numFmtId="169" fontId="2" fillId="3" borderId="22" xfId="0" applyNumberFormat="1" applyFont="1" applyFill="1" applyBorder="1" applyAlignment="1" applyProtection="1">
      <alignment/>
      <protection/>
    </xf>
    <xf numFmtId="0" fontId="2" fillId="0" borderId="21" xfId="0" applyFont="1" applyBorder="1" applyAlignment="1" applyProtection="1">
      <alignment horizontal="left"/>
      <protection/>
    </xf>
    <xf numFmtId="0" fontId="2" fillId="3" borderId="28" xfId="0" applyFont="1" applyFill="1" applyBorder="1" applyAlignment="1" applyProtection="1">
      <alignment vertical="center"/>
      <protection/>
    </xf>
    <xf numFmtId="0" fontId="2" fillId="3" borderId="26" xfId="0" applyFont="1" applyFill="1" applyBorder="1" applyAlignment="1" applyProtection="1">
      <alignment vertical="center"/>
      <protection/>
    </xf>
    <xf numFmtId="169" fontId="2" fillId="3" borderId="34" xfId="0" applyNumberFormat="1" applyFont="1" applyFill="1" applyBorder="1" applyAlignment="1" applyProtection="1">
      <alignment vertical="center"/>
      <protection/>
    </xf>
    <xf numFmtId="0" fontId="3" fillId="0" borderId="38" xfId="0" applyFont="1" applyBorder="1" applyAlignment="1">
      <alignment/>
    </xf>
    <xf numFmtId="169" fontId="2" fillId="3" borderId="7" xfId="0" applyNumberFormat="1" applyFont="1" applyFill="1" applyBorder="1" applyAlignment="1" applyProtection="1">
      <alignment vertical="center"/>
      <protection/>
    </xf>
    <xf numFmtId="0" fontId="5" fillId="3" borderId="28" xfId="0" applyFont="1" applyFill="1" applyBorder="1" applyAlignment="1" applyProtection="1">
      <alignment vertical="center"/>
      <protection/>
    </xf>
    <xf numFmtId="169" fontId="2" fillId="3" borderId="35" xfId="0" applyNumberFormat="1" applyFont="1" applyFill="1" applyBorder="1" applyAlignment="1" applyProtection="1">
      <alignment vertical="center"/>
      <protection/>
    </xf>
    <xf numFmtId="169" fontId="2" fillId="3" borderId="27" xfId="0" applyNumberFormat="1" applyFont="1" applyFill="1" applyBorder="1" applyAlignment="1" applyProtection="1">
      <alignment vertical="center"/>
      <protection/>
    </xf>
    <xf numFmtId="169" fontId="5" fillId="3" borderId="7" xfId="0" applyNumberFormat="1" applyFont="1" applyFill="1" applyBorder="1" applyAlignment="1" applyProtection="1">
      <alignment horizontal="center"/>
      <protection/>
    </xf>
    <xf numFmtId="169" fontId="5" fillId="3" borderId="34" xfId="0" applyNumberFormat="1" applyFont="1" applyFill="1" applyBorder="1" applyAlignment="1" applyProtection="1">
      <alignment horizontal="center" vertical="center"/>
      <protection/>
    </xf>
    <xf numFmtId="169" fontId="5" fillId="3" borderId="7" xfId="0" applyNumberFormat="1" applyFont="1" applyFill="1" applyBorder="1" applyAlignment="1" applyProtection="1">
      <alignment horizontal="center" vertical="center"/>
      <protection/>
    </xf>
    <xf numFmtId="169" fontId="5" fillId="3" borderId="27" xfId="0" applyNumberFormat="1" applyFont="1" applyFill="1" applyBorder="1" applyAlignment="1" applyProtection="1">
      <alignment horizontal="center" vertical="center"/>
      <protection/>
    </xf>
    <xf numFmtId="169" fontId="5" fillId="3" borderId="8" xfId="0" applyNumberFormat="1" applyFont="1" applyFill="1" applyBorder="1" applyAlignment="1" applyProtection="1">
      <alignment horizontal="center"/>
      <protection/>
    </xf>
    <xf numFmtId="169" fontId="5" fillId="3" borderId="35" xfId="0" applyNumberFormat="1" applyFont="1" applyFill="1" applyBorder="1" applyAlignment="1" applyProtection="1">
      <alignment horizontal="center" vertical="center"/>
      <protection/>
    </xf>
    <xf numFmtId="169" fontId="5" fillId="3" borderId="8" xfId="0" applyNumberFormat="1" applyFont="1" applyFill="1" applyBorder="1" applyAlignment="1" applyProtection="1">
      <alignment horizontal="center" vertical="center"/>
      <protection/>
    </xf>
    <xf numFmtId="169" fontId="2" fillId="3" borderId="39" xfId="0" applyNumberFormat="1" applyFont="1" applyFill="1" applyBorder="1" applyAlignment="1" applyProtection="1">
      <alignment vertical="center"/>
      <protection/>
    </xf>
    <xf numFmtId="0" fontId="5" fillId="10" borderId="23" xfId="0" applyFont="1" applyFill="1" applyBorder="1" applyAlignment="1" applyProtection="1">
      <alignment vertical="center"/>
      <protection/>
    </xf>
    <xf numFmtId="169" fontId="2" fillId="10" borderId="12" xfId="0" applyNumberFormat="1" applyFont="1" applyFill="1" applyBorder="1" applyAlignment="1" applyProtection="1">
      <alignment/>
      <protection/>
    </xf>
    <xf numFmtId="169" fontId="2" fillId="10" borderId="24" xfId="0" applyNumberFormat="1" applyFont="1" applyFill="1" applyBorder="1" applyAlignment="1" applyProtection="1">
      <alignment vertical="center"/>
      <protection/>
    </xf>
    <xf numFmtId="169" fontId="2" fillId="10" borderId="31" xfId="0" applyNumberFormat="1" applyFont="1" applyFill="1" applyBorder="1" applyAlignment="1" applyProtection="1">
      <alignment/>
      <protection/>
    </xf>
    <xf numFmtId="169" fontId="2" fillId="10" borderId="25" xfId="0" applyNumberFormat="1" applyFont="1" applyFill="1" applyBorder="1" applyAlignment="1" applyProtection="1">
      <alignment/>
      <protection/>
    </xf>
    <xf numFmtId="169" fontId="2" fillId="10" borderId="12" xfId="0" applyNumberFormat="1" applyFont="1" applyFill="1" applyBorder="1" applyAlignment="1" applyProtection="1">
      <alignment vertical="center"/>
      <protection/>
    </xf>
    <xf numFmtId="169" fontId="2" fillId="3" borderId="9" xfId="0" applyNumberFormat="1" applyFont="1" applyFill="1" applyBorder="1" applyAlignment="1" applyProtection="1">
      <alignment horizontal="center"/>
      <protection/>
    </xf>
    <xf numFmtId="169" fontId="5" fillId="3" borderId="12" xfId="0" applyNumberFormat="1" applyFont="1" applyFill="1" applyBorder="1" applyAlignment="1" applyProtection="1">
      <alignment horizontal="center" vertical="center"/>
      <protection/>
    </xf>
    <xf numFmtId="169" fontId="2" fillId="3" borderId="12" xfId="0" applyNumberFormat="1" applyFont="1" applyFill="1" applyBorder="1" applyAlignment="1" applyProtection="1">
      <alignment vertical="center"/>
      <protection/>
    </xf>
    <xf numFmtId="0" fontId="5" fillId="10" borderId="40" xfId="0" applyFont="1" applyFill="1" applyBorder="1" applyAlignment="1" applyProtection="1">
      <alignment vertical="center"/>
      <protection/>
    </xf>
    <xf numFmtId="169" fontId="2" fillId="10" borderId="41" xfId="0" applyNumberFormat="1" applyFont="1" applyFill="1" applyBorder="1" applyAlignment="1" applyProtection="1">
      <alignment vertical="center"/>
      <protection/>
    </xf>
    <xf numFmtId="169" fontId="2" fillId="10" borderId="42" xfId="0" applyNumberFormat="1" applyFont="1" applyFill="1" applyBorder="1" applyAlignment="1" applyProtection="1">
      <alignment vertical="center"/>
      <protection/>
    </xf>
    <xf numFmtId="169" fontId="2" fillId="10" borderId="43" xfId="0" applyNumberFormat="1" applyFont="1" applyFill="1" applyBorder="1" applyAlignment="1" applyProtection="1">
      <alignment vertical="center"/>
      <protection/>
    </xf>
    <xf numFmtId="169" fontId="2" fillId="10" borderId="44" xfId="0" applyNumberFormat="1" applyFont="1" applyFill="1" applyBorder="1" applyAlignment="1" applyProtection="1">
      <alignment vertical="center"/>
      <protection/>
    </xf>
    <xf numFmtId="169" fontId="5" fillId="3" borderId="45" xfId="0" applyNumberFormat="1" applyFont="1" applyFill="1" applyBorder="1" applyAlignment="1" applyProtection="1">
      <alignment horizontal="center"/>
      <protection/>
    </xf>
    <xf numFmtId="169" fontId="5" fillId="3" borderId="46" xfId="0" applyNumberFormat="1" applyFont="1" applyFill="1" applyBorder="1" applyAlignment="1" applyProtection="1">
      <alignment horizontal="center" vertical="center"/>
      <protection/>
    </xf>
    <xf numFmtId="169" fontId="5" fillId="3" borderId="47" xfId="0" applyNumberFormat="1" applyFont="1" applyFill="1" applyBorder="1" applyAlignment="1" applyProtection="1">
      <alignment horizontal="center" vertical="center"/>
      <protection/>
    </xf>
    <xf numFmtId="49" fontId="5" fillId="3" borderId="38" xfId="0" applyNumberFormat="1" applyFont="1" applyFill="1" applyBorder="1" applyAlignment="1" applyProtection="1">
      <alignment horizontal="center"/>
      <protection/>
    </xf>
    <xf numFmtId="169" fontId="5" fillId="3" borderId="3" xfId="0" applyNumberFormat="1" applyFont="1" applyFill="1" applyBorder="1" applyAlignment="1" applyProtection="1">
      <alignment horizontal="center" vertical="center"/>
      <protection/>
    </xf>
    <xf numFmtId="169" fontId="5" fillId="3" borderId="48" xfId="0" applyNumberFormat="1" applyFont="1" applyFill="1" applyBorder="1" applyAlignment="1" applyProtection="1">
      <alignment horizontal="center" vertical="center"/>
      <protection/>
    </xf>
    <xf numFmtId="168" fontId="5" fillId="3" borderId="49" xfId="0" applyNumberFormat="1" applyFont="1" applyFill="1" applyBorder="1" applyAlignment="1" applyProtection="1">
      <alignment horizontal="center" vertical="center"/>
      <protection/>
    </xf>
    <xf numFmtId="168" fontId="5" fillId="3" borderId="4" xfId="0" applyNumberFormat="1" applyFont="1" applyFill="1" applyBorder="1" applyAlignment="1" applyProtection="1">
      <alignment horizontal="center" vertical="center"/>
      <protection/>
    </xf>
    <xf numFmtId="49" fontId="5" fillId="3" borderId="50" xfId="0" applyNumberFormat="1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vertical="center"/>
      <protection/>
    </xf>
    <xf numFmtId="0" fontId="2" fillId="0" borderId="52" xfId="0" applyFont="1" applyBorder="1" applyAlignment="1" applyProtection="1">
      <alignment vertical="center"/>
      <protection/>
    </xf>
    <xf numFmtId="0" fontId="2" fillId="0" borderId="53" xfId="0" applyFont="1" applyBorder="1" applyAlignment="1" applyProtection="1">
      <alignment vertical="center"/>
      <protection/>
    </xf>
    <xf numFmtId="169" fontId="2" fillId="0" borderId="33" xfId="0" applyNumberFormat="1" applyFont="1" applyFill="1" applyBorder="1" applyAlignment="1" applyProtection="1">
      <alignment vertical="center"/>
      <protection/>
    </xf>
    <xf numFmtId="169" fontId="2" fillId="0" borderId="54" xfId="0" applyNumberFormat="1" applyFont="1" applyFill="1" applyBorder="1" applyAlignment="1" applyProtection="1">
      <alignment vertical="center"/>
      <protection/>
    </xf>
    <xf numFmtId="169" fontId="5" fillId="0" borderId="31" xfId="0" applyNumberFormat="1" applyFont="1" applyFill="1" applyBorder="1" applyAlignment="1" applyProtection="1">
      <alignment vertical="center"/>
      <protection/>
    </xf>
    <xf numFmtId="169" fontId="5" fillId="0" borderId="31" xfId="0" applyNumberFormat="1" applyFont="1" applyFill="1" applyBorder="1" applyAlignment="1" applyProtection="1">
      <alignment/>
      <protection/>
    </xf>
    <xf numFmtId="169" fontId="2" fillId="0" borderId="54" xfId="0" applyNumberFormat="1" applyFont="1" applyFill="1" applyBorder="1" applyAlignment="1" applyProtection="1">
      <alignment/>
      <protection/>
    </xf>
    <xf numFmtId="169" fontId="2" fillId="0" borderId="32" xfId="0" applyNumberFormat="1" applyFont="1" applyFill="1" applyBorder="1" applyAlignment="1" applyProtection="1">
      <alignment/>
      <protection/>
    </xf>
    <xf numFmtId="169" fontId="5" fillId="0" borderId="55" xfId="0" applyNumberFormat="1" applyFont="1" applyFill="1" applyBorder="1" applyAlignment="1" applyProtection="1">
      <alignment vertical="center"/>
      <protection/>
    </xf>
    <xf numFmtId="169" fontId="5" fillId="0" borderId="33" xfId="0" applyNumberFormat="1" applyFont="1" applyFill="1" applyBorder="1" applyAlignment="1" applyProtection="1">
      <alignment vertical="center"/>
      <protection/>
    </xf>
    <xf numFmtId="169" fontId="2" fillId="0" borderId="33" xfId="0" applyNumberFormat="1" applyFont="1" applyFill="1" applyBorder="1" applyAlignment="1" applyProtection="1">
      <alignment/>
      <protection/>
    </xf>
    <xf numFmtId="169" fontId="2" fillId="0" borderId="32" xfId="0" applyNumberFormat="1" applyFont="1" applyFill="1" applyBorder="1" applyAlignment="1" applyProtection="1">
      <alignment vertical="center"/>
      <protection/>
    </xf>
    <xf numFmtId="169" fontId="5" fillId="0" borderId="32" xfId="0" applyNumberFormat="1" applyFont="1" applyFill="1" applyBorder="1" applyAlignment="1" applyProtection="1">
      <alignment horizontal="center" vertical="center"/>
      <protection/>
    </xf>
    <xf numFmtId="169" fontId="5" fillId="0" borderId="56" xfId="0" applyNumberFormat="1" applyFont="1" applyFill="1" applyBorder="1" applyAlignment="1" applyProtection="1">
      <alignment horizontal="center"/>
      <protection/>
    </xf>
    <xf numFmtId="169" fontId="5" fillId="0" borderId="57" xfId="0" applyNumberFormat="1" applyFont="1" applyFill="1" applyBorder="1" applyAlignment="1" applyProtection="1">
      <alignment horizontal="center"/>
      <protection/>
    </xf>
    <xf numFmtId="168" fontId="5" fillId="0" borderId="57" xfId="0" applyNumberFormat="1" applyFont="1" applyFill="1" applyBorder="1" applyAlignment="1" applyProtection="1">
      <alignment horizontal="center" vertical="center"/>
      <protection/>
    </xf>
    <xf numFmtId="169" fontId="2" fillId="0" borderId="58" xfId="0" applyNumberFormat="1" applyFont="1" applyFill="1" applyBorder="1" applyAlignment="1" applyProtection="1">
      <alignment horizontal="center"/>
      <protection/>
    </xf>
    <xf numFmtId="49" fontId="5" fillId="0" borderId="18" xfId="0" applyNumberFormat="1" applyFont="1" applyFill="1" applyBorder="1" applyAlignment="1" applyProtection="1">
      <alignment horizontal="center" vertical="center"/>
      <protection/>
    </xf>
    <xf numFmtId="169" fontId="2" fillId="0" borderId="59" xfId="0" applyNumberFormat="1" applyFont="1" applyFill="1" applyBorder="1" applyAlignment="1" applyProtection="1">
      <alignment horizontal="center"/>
      <protection/>
    </xf>
    <xf numFmtId="169" fontId="2" fillId="0" borderId="31" xfId="0" applyNumberFormat="1" applyFont="1" applyFill="1" applyBorder="1" applyAlignment="1" applyProtection="1">
      <alignment/>
      <protection/>
    </xf>
    <xf numFmtId="0" fontId="14" fillId="3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0" fontId="0" fillId="2" borderId="0" xfId="0" applyNumberFormat="1" applyFill="1" applyAlignment="1">
      <alignment/>
    </xf>
    <xf numFmtId="0" fontId="0" fillId="3" borderId="0" xfId="0" applyNumberFormat="1" applyFill="1" applyAlignment="1">
      <alignment/>
    </xf>
    <xf numFmtId="0" fontId="15" fillId="2" borderId="0" xfId="0" applyNumberFormat="1" applyFont="1" applyFill="1" applyAlignment="1">
      <alignment/>
    </xf>
    <xf numFmtId="0" fontId="16" fillId="3" borderId="0" xfId="0" applyNumberFormat="1" applyFont="1" applyFill="1" applyAlignment="1">
      <alignment/>
    </xf>
    <xf numFmtId="0" fontId="17" fillId="3" borderId="0" xfId="0" applyNumberFormat="1" applyFont="1" applyFill="1" applyAlignment="1">
      <alignment/>
    </xf>
    <xf numFmtId="0" fontId="18" fillId="2" borderId="0" xfId="0" applyNumberFormat="1" applyFont="1" applyFill="1" applyAlignment="1">
      <alignment/>
    </xf>
    <xf numFmtId="1" fontId="18" fillId="2" borderId="0" xfId="0" applyNumberFormat="1" applyFont="1" applyFill="1" applyAlignment="1">
      <alignment horizontal="center"/>
    </xf>
    <xf numFmtId="14" fontId="19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0" fontId="20" fillId="2" borderId="0" xfId="0" applyNumberFormat="1" applyFont="1" applyFill="1" applyAlignment="1">
      <alignment horizontal="center"/>
    </xf>
    <xf numFmtId="0" fontId="19" fillId="3" borderId="0" xfId="0" applyNumberFormat="1" applyFont="1" applyFill="1" applyAlignment="1">
      <alignment horizontal="center"/>
    </xf>
    <xf numFmtId="0" fontId="18" fillId="3" borderId="0" xfId="0" applyNumberFormat="1" applyFont="1" applyFill="1" applyAlignment="1">
      <alignment horizontal="center"/>
    </xf>
    <xf numFmtId="0" fontId="0" fillId="2" borderId="0" xfId="0" applyNumberFormat="1" applyFill="1" applyAlignment="1">
      <alignment horizontal="left"/>
    </xf>
    <xf numFmtId="166" fontId="18" fillId="2" borderId="0" xfId="0" applyNumberFormat="1" applyFont="1" applyFill="1" applyAlignment="1">
      <alignment horizontal="center"/>
    </xf>
    <xf numFmtId="0" fontId="14" fillId="2" borderId="60" xfId="0" applyNumberFormat="1" applyFont="1" applyFill="1" applyBorder="1" applyAlignment="1">
      <alignment/>
    </xf>
    <xf numFmtId="0" fontId="14" fillId="3" borderId="61" xfId="0" applyNumberFormat="1" applyFont="1" applyFill="1" applyBorder="1" applyAlignment="1">
      <alignment horizontal="center"/>
    </xf>
    <xf numFmtId="0" fontId="14" fillId="2" borderId="61" xfId="0" applyNumberFormat="1" applyFont="1" applyFill="1" applyBorder="1" applyAlignment="1">
      <alignment horizontal="center"/>
    </xf>
    <xf numFmtId="0" fontId="14" fillId="3" borderId="60" xfId="0" applyNumberFormat="1" applyFont="1" applyFill="1" applyBorder="1" applyAlignment="1">
      <alignment horizontal="center"/>
    </xf>
    <xf numFmtId="0" fontId="14" fillId="2" borderId="61" xfId="0" applyNumberFormat="1" applyFont="1" applyFill="1" applyBorder="1" applyAlignment="1">
      <alignment horizontal="center"/>
    </xf>
    <xf numFmtId="0" fontId="14" fillId="2" borderId="60" xfId="0" applyNumberFormat="1" applyFont="1" applyFill="1" applyBorder="1" applyAlignment="1">
      <alignment horizontal="center"/>
    </xf>
    <xf numFmtId="0" fontId="14" fillId="2" borderId="62" xfId="0" applyNumberFormat="1" applyFont="1" applyFill="1" applyBorder="1" applyAlignment="1">
      <alignment/>
    </xf>
    <xf numFmtId="0" fontId="14" fillId="3" borderId="63" xfId="0" applyNumberFormat="1" applyFont="1" applyFill="1" applyBorder="1" applyAlignment="1">
      <alignment/>
    </xf>
    <xf numFmtId="0" fontId="14" fillId="2" borderId="63" xfId="0" applyNumberFormat="1" applyFont="1" applyFill="1" applyBorder="1" applyAlignment="1">
      <alignment horizontal="center"/>
    </xf>
    <xf numFmtId="0" fontId="14" fillId="3" borderId="62" xfId="0" applyNumberFormat="1" applyFont="1" applyFill="1" applyBorder="1" applyAlignment="1">
      <alignment horizontal="center"/>
    </xf>
    <xf numFmtId="0" fontId="14" fillId="2" borderId="63" xfId="0" applyNumberFormat="1" applyFont="1" applyFill="1" applyBorder="1" applyAlignment="1">
      <alignment horizontal="center"/>
    </xf>
    <xf numFmtId="0" fontId="14" fillId="2" borderId="62" xfId="0" applyNumberFormat="1" applyFont="1" applyFill="1" applyBorder="1" applyAlignment="1">
      <alignment horizontal="center"/>
    </xf>
    <xf numFmtId="0" fontId="14" fillId="3" borderId="64" xfId="0" applyNumberFormat="1" applyFont="1" applyFill="1" applyBorder="1" applyAlignment="1">
      <alignment/>
    </xf>
    <xf numFmtId="0" fontId="14" fillId="3" borderId="65" xfId="0" applyNumberFormat="1" applyFont="1" applyFill="1" applyBorder="1" applyAlignment="1">
      <alignment horizontal="center"/>
    </xf>
    <xf numFmtId="0" fontId="14" fillId="2" borderId="65" xfId="0" applyNumberFormat="1" applyFont="1" applyFill="1" applyBorder="1" applyAlignment="1">
      <alignment horizontal="center"/>
    </xf>
    <xf numFmtId="0" fontId="14" fillId="3" borderId="64" xfId="0" applyNumberFormat="1" applyFont="1" applyFill="1" applyBorder="1" applyAlignment="1">
      <alignment horizontal="center"/>
    </xf>
    <xf numFmtId="0" fontId="14" fillId="2" borderId="65" xfId="0" applyNumberFormat="1" applyFont="1" applyFill="1" applyBorder="1" applyAlignment="1">
      <alignment horizontal="center"/>
    </xf>
    <xf numFmtId="0" fontId="14" fillId="2" borderId="64" xfId="0" applyNumberFormat="1" applyFont="1" applyFill="1" applyBorder="1" applyAlignment="1">
      <alignment horizontal="center"/>
    </xf>
    <xf numFmtId="0" fontId="14" fillId="2" borderId="64" xfId="0" applyNumberFormat="1" applyFont="1" applyFill="1" applyBorder="1" applyAlignment="1">
      <alignment horizontal="center"/>
    </xf>
    <xf numFmtId="0" fontId="21" fillId="2" borderId="64" xfId="0" applyNumberFormat="1" applyFont="1" applyFill="1" applyBorder="1" applyAlignment="1">
      <alignment horizontal="center"/>
    </xf>
    <xf numFmtId="0" fontId="22" fillId="3" borderId="66" xfId="0" applyNumberFormat="1" applyFont="1" applyFill="1" applyBorder="1" applyAlignment="1">
      <alignment horizontal="center"/>
    </xf>
    <xf numFmtId="0" fontId="22" fillId="3" borderId="66" xfId="0" applyNumberFormat="1" applyFont="1" applyFill="1" applyBorder="1" applyAlignment="1">
      <alignment/>
    </xf>
    <xf numFmtId="169" fontId="22" fillId="3" borderId="66" xfId="0" applyNumberFormat="1" applyFont="1" applyFill="1" applyBorder="1" applyAlignment="1">
      <alignment horizontal="right"/>
    </xf>
    <xf numFmtId="170" fontId="14" fillId="2" borderId="66" xfId="0" applyNumberFormat="1" applyFont="1" applyFill="1" applyBorder="1" applyAlignment="1">
      <alignment/>
    </xf>
    <xf numFmtId="169" fontId="22" fillId="3" borderId="66" xfId="0" applyNumberFormat="1" applyFont="1" applyFill="1" applyBorder="1" applyAlignment="1">
      <alignment/>
    </xf>
    <xf numFmtId="0" fontId="14" fillId="3" borderId="66" xfId="0" applyNumberFormat="1" applyFont="1" applyFill="1" applyBorder="1" applyAlignment="1">
      <alignment horizontal="center"/>
    </xf>
    <xf numFmtId="0" fontId="14" fillId="3" borderId="66" xfId="0" applyNumberFormat="1" applyFont="1" applyFill="1" applyBorder="1" applyAlignment="1">
      <alignment/>
    </xf>
    <xf numFmtId="169" fontId="14" fillId="3" borderId="66" xfId="0" applyNumberFormat="1" applyFont="1" applyFill="1" applyBorder="1" applyAlignment="1">
      <alignment/>
    </xf>
    <xf numFmtId="169" fontId="23" fillId="2" borderId="66" xfId="0" applyNumberFormat="1" applyFont="1" applyFill="1" applyBorder="1" applyAlignment="1">
      <alignment/>
    </xf>
    <xf numFmtId="169" fontId="24" fillId="2" borderId="66" xfId="0" applyNumberFormat="1" applyFont="1" applyFill="1" applyBorder="1" applyAlignment="1">
      <alignment/>
    </xf>
    <xf numFmtId="171" fontId="24" fillId="2" borderId="66" xfId="0" applyNumberFormat="1" applyFont="1" applyFill="1" applyBorder="1" applyAlignment="1">
      <alignment/>
    </xf>
    <xf numFmtId="169" fontId="14" fillId="2" borderId="66" xfId="0" applyNumberFormat="1" applyFont="1" applyFill="1" applyBorder="1" applyAlignment="1">
      <alignment/>
    </xf>
    <xf numFmtId="169" fontId="14" fillId="3" borderId="66" xfId="0" applyNumberFormat="1" applyFont="1" applyFill="1" applyBorder="1" applyAlignment="1">
      <alignment horizontal="right"/>
    </xf>
    <xf numFmtId="171" fontId="14" fillId="3" borderId="66" xfId="0" applyNumberFormat="1" applyFont="1" applyFill="1" applyBorder="1" applyAlignment="1">
      <alignment/>
    </xf>
    <xf numFmtId="170" fontId="14" fillId="3" borderId="66" xfId="0" applyNumberFormat="1" applyFont="1" applyFill="1" applyBorder="1" applyAlignment="1">
      <alignment horizontal="right"/>
    </xf>
    <xf numFmtId="169" fontId="24" fillId="3" borderId="66" xfId="0" applyNumberFormat="1" applyFont="1" applyFill="1" applyBorder="1" applyAlignment="1">
      <alignment/>
    </xf>
    <xf numFmtId="0" fontId="23" fillId="3" borderId="66" xfId="0" applyNumberFormat="1" applyFont="1" applyFill="1" applyBorder="1" applyAlignment="1">
      <alignment/>
    </xf>
    <xf numFmtId="0" fontId="24" fillId="3" borderId="66" xfId="0" applyNumberFormat="1" applyFont="1" applyFill="1" applyBorder="1" applyAlignment="1">
      <alignment/>
    </xf>
    <xf numFmtId="169" fontId="24" fillId="2" borderId="66" xfId="0" applyNumberFormat="1" applyFont="1" applyFill="1" applyBorder="1" applyAlignment="1">
      <alignment/>
    </xf>
    <xf numFmtId="171" fontId="14" fillId="2" borderId="66" xfId="0" applyNumberFormat="1" applyFont="1" applyFill="1" applyBorder="1" applyAlignment="1">
      <alignment/>
    </xf>
    <xf numFmtId="0" fontId="24" fillId="3" borderId="66" xfId="0" applyNumberFormat="1" applyFont="1" applyFill="1" applyBorder="1" applyAlignment="1">
      <alignment horizontal="right"/>
    </xf>
    <xf numFmtId="0" fontId="24" fillId="3" borderId="66" xfId="0" applyNumberFormat="1" applyFont="1" applyFill="1" applyBorder="1" applyAlignment="1">
      <alignment horizontal="right"/>
    </xf>
    <xf numFmtId="170" fontId="24" fillId="3" borderId="66" xfId="0" applyNumberFormat="1" applyFont="1" applyFill="1" applyBorder="1" applyAlignment="1">
      <alignment horizontal="right"/>
    </xf>
    <xf numFmtId="169" fontId="22" fillId="2" borderId="66" xfId="0" applyNumberFormat="1" applyFont="1" applyFill="1" applyBorder="1" applyAlignment="1">
      <alignment/>
    </xf>
    <xf numFmtId="171" fontId="22" fillId="2" borderId="66" xfId="0" applyNumberFormat="1" applyFont="1" applyFill="1" applyBorder="1" applyAlignment="1">
      <alignment/>
    </xf>
    <xf numFmtId="168" fontId="14" fillId="3" borderId="66" xfId="0" applyNumberFormat="1" applyFont="1" applyFill="1" applyBorder="1" applyAlignment="1">
      <alignment/>
    </xf>
    <xf numFmtId="1" fontId="14" fillId="2" borderId="66" xfId="0" applyNumberFormat="1" applyFont="1" applyFill="1" applyBorder="1" applyAlignment="1">
      <alignment/>
    </xf>
    <xf numFmtId="0" fontId="22" fillId="2" borderId="66" xfId="0" applyNumberFormat="1" applyFont="1" applyFill="1" applyBorder="1" applyAlignment="1">
      <alignment horizontal="center"/>
    </xf>
    <xf numFmtId="0" fontId="22" fillId="2" borderId="66" xfId="0" applyNumberFormat="1" applyFont="1" applyFill="1" applyBorder="1" applyAlignment="1">
      <alignment/>
    </xf>
    <xf numFmtId="169" fontId="22" fillId="2" borderId="66" xfId="0" applyNumberFormat="1" applyFont="1" applyFill="1" applyBorder="1" applyAlignment="1">
      <alignment/>
    </xf>
    <xf numFmtId="0" fontId="23" fillId="3" borderId="66" xfId="0" applyNumberFormat="1" applyFont="1" applyFill="1" applyBorder="1" applyAlignment="1">
      <alignment horizontal="center"/>
    </xf>
    <xf numFmtId="169" fontId="14" fillId="2" borderId="66" xfId="0" applyNumberFormat="1" applyFont="1" applyFill="1" applyBorder="1" applyAlignment="1">
      <alignment/>
    </xf>
    <xf numFmtId="0" fontId="14" fillId="3" borderId="66" xfId="0" applyNumberFormat="1" applyFont="1" applyFill="1" applyBorder="1" applyAlignment="1">
      <alignment horizontal="right"/>
    </xf>
    <xf numFmtId="0" fontId="14" fillId="2" borderId="66" xfId="0" applyNumberFormat="1" applyFont="1" applyFill="1" applyBorder="1" applyAlignment="1">
      <alignment/>
    </xf>
    <xf numFmtId="169" fontId="24" fillId="3" borderId="66" xfId="0" applyNumberFormat="1" applyFont="1" applyFill="1" applyBorder="1" applyAlignment="1">
      <alignment horizontal="right"/>
    </xf>
    <xf numFmtId="171" fontId="14" fillId="2" borderId="66" xfId="0" applyNumberFormat="1" applyFont="1" applyFill="1" applyBorder="1" applyAlignment="1">
      <alignment/>
    </xf>
    <xf numFmtId="0" fontId="14" fillId="3" borderId="66" xfId="0" applyNumberFormat="1" applyFont="1" applyFill="1" applyBorder="1" applyAlignment="1">
      <alignment horizontal="left"/>
    </xf>
    <xf numFmtId="0" fontId="25" fillId="3" borderId="66" xfId="0" applyNumberFormat="1" applyFont="1" applyFill="1" applyBorder="1" applyAlignment="1">
      <alignment/>
    </xf>
    <xf numFmtId="169" fontId="14" fillId="2" borderId="66" xfId="0" applyNumberFormat="1" applyFont="1" applyFill="1" applyBorder="1" applyAlignment="1">
      <alignment horizontal="right"/>
    </xf>
    <xf numFmtId="1" fontId="19" fillId="2" borderId="0" xfId="0" applyNumberFormat="1" applyFont="1" applyFill="1" applyAlignment="1">
      <alignment/>
    </xf>
    <xf numFmtId="1" fontId="18" fillId="2" borderId="0" xfId="0" applyNumberFormat="1" applyFont="1" applyFill="1" applyAlignment="1">
      <alignment/>
    </xf>
    <xf numFmtId="169" fontId="19" fillId="3" borderId="0" xfId="0" applyNumberFormat="1" applyFont="1" applyFill="1" applyBorder="1" applyAlignment="1">
      <alignment/>
    </xf>
    <xf numFmtId="171" fontId="19" fillId="2" borderId="0" xfId="0" applyNumberFormat="1" applyFont="1" applyFill="1" applyBorder="1" applyAlignment="1">
      <alignment horizontal="right"/>
    </xf>
    <xf numFmtId="1" fontId="19" fillId="2" borderId="0" xfId="0" applyNumberFormat="1" applyFont="1" applyFill="1" applyBorder="1" applyAlignment="1">
      <alignment/>
    </xf>
    <xf numFmtId="169" fontId="26" fillId="3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26" fillId="3" borderId="0" xfId="0" applyNumberFormat="1" applyFont="1" applyFill="1" applyAlignment="1">
      <alignment/>
    </xf>
    <xf numFmtId="0" fontId="26" fillId="2" borderId="0" xfId="0" applyNumberFormat="1" applyFont="1" applyFill="1" applyAlignment="1">
      <alignment/>
    </xf>
    <xf numFmtId="0" fontId="18" fillId="3" borderId="0" xfId="0" applyNumberFormat="1" applyFont="1" applyFill="1" applyAlignment="1">
      <alignment/>
    </xf>
    <xf numFmtId="169" fontId="21" fillId="3" borderId="0" xfId="0" applyNumberFormat="1" applyFont="1" applyFill="1" applyBorder="1" applyAlignment="1">
      <alignment/>
    </xf>
    <xf numFmtId="0" fontId="12" fillId="0" borderId="67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view="pageBreakPreview" zoomScale="60" zoomScaleNormal="50" workbookViewId="0" topLeftCell="A1">
      <selection activeCell="A1" sqref="A1:IV16384"/>
    </sheetView>
  </sheetViews>
  <sheetFormatPr defaultColWidth="9.140625" defaultRowHeight="12.75"/>
  <cols>
    <col min="1" max="1" width="7.421875" style="0" customWidth="1"/>
    <col min="2" max="2" width="99.28125" style="0" bestFit="1" customWidth="1"/>
    <col min="3" max="3" width="20.7109375" style="0" bestFit="1" customWidth="1"/>
    <col min="4" max="4" width="17.7109375" style="0" bestFit="1" customWidth="1"/>
    <col min="5" max="5" width="23.57421875" style="0" bestFit="1" customWidth="1"/>
    <col min="6" max="6" width="27.7109375" style="0" bestFit="1" customWidth="1"/>
    <col min="7" max="7" width="17.7109375" style="0" bestFit="1" customWidth="1"/>
    <col min="8" max="8" width="22.7109375" style="0" bestFit="1" customWidth="1"/>
    <col min="9" max="9" width="23.57421875" style="0" bestFit="1" customWidth="1"/>
  </cols>
  <sheetData>
    <row r="1" spans="1:9" ht="23.25">
      <c r="A1" s="246" t="s">
        <v>259</v>
      </c>
      <c r="B1" s="247"/>
      <c r="C1" s="247"/>
      <c r="D1" s="247"/>
      <c r="E1" s="247"/>
      <c r="F1" s="247"/>
      <c r="G1" s="247"/>
      <c r="H1" s="247"/>
      <c r="I1" s="247"/>
    </row>
    <row r="2" spans="1:9" ht="15">
      <c r="A2" s="248"/>
      <c r="B2" s="249"/>
      <c r="C2" s="250"/>
      <c r="D2" s="248"/>
      <c r="E2" s="248"/>
      <c r="F2" s="247"/>
      <c r="G2" s="247"/>
      <c r="H2" s="247"/>
      <c r="I2" s="247"/>
    </row>
    <row r="3" spans="1:9" ht="12.75">
      <c r="A3" s="247"/>
      <c r="B3" s="247"/>
      <c r="C3" s="248"/>
      <c r="D3" s="248"/>
      <c r="E3" s="248"/>
      <c r="F3" s="247"/>
      <c r="G3" s="247"/>
      <c r="H3" s="247"/>
      <c r="I3" s="247"/>
    </row>
    <row r="4" spans="1:9" ht="25.5">
      <c r="A4" s="251" t="s">
        <v>0</v>
      </c>
      <c r="B4" s="252"/>
      <c r="C4" s="248"/>
      <c r="D4" s="253"/>
      <c r="E4" s="248"/>
      <c r="F4" s="247"/>
      <c r="G4" s="247"/>
      <c r="H4" s="247"/>
      <c r="I4" s="247"/>
    </row>
    <row r="5" spans="1:9" ht="20.25">
      <c r="A5" s="249"/>
      <c r="B5" s="249"/>
      <c r="C5" s="248"/>
      <c r="D5" s="254"/>
      <c r="E5" s="248"/>
      <c r="F5" s="255"/>
      <c r="G5" s="255"/>
      <c r="H5" s="255"/>
      <c r="I5" s="255" t="s">
        <v>260</v>
      </c>
    </row>
    <row r="6" spans="1:9" ht="26.25">
      <c r="A6" s="256"/>
      <c r="B6" s="257" t="s">
        <v>1</v>
      </c>
      <c r="C6" s="258" t="s">
        <v>2</v>
      </c>
      <c r="D6" s="259"/>
      <c r="E6" s="260"/>
      <c r="F6" s="261" t="s">
        <v>2</v>
      </c>
      <c r="G6" s="261"/>
      <c r="H6" s="261"/>
      <c r="I6" s="261"/>
    </row>
    <row r="7" spans="1:9" ht="23.25">
      <c r="A7" s="262"/>
      <c r="B7" s="263" t="s">
        <v>3</v>
      </c>
      <c r="C7" s="264" t="s">
        <v>7</v>
      </c>
      <c r="D7" s="265" t="s">
        <v>8</v>
      </c>
      <c r="E7" s="266" t="s">
        <v>9</v>
      </c>
      <c r="F7" s="264" t="s">
        <v>261</v>
      </c>
      <c r="G7" s="264" t="s">
        <v>5</v>
      </c>
      <c r="H7" s="267" t="s">
        <v>6</v>
      </c>
      <c r="I7" s="267" t="s">
        <v>6</v>
      </c>
    </row>
    <row r="8" spans="1:9" ht="23.25">
      <c r="A8" s="268"/>
      <c r="B8" s="269"/>
      <c r="C8" s="270" t="s">
        <v>13</v>
      </c>
      <c r="D8" s="271" t="s">
        <v>11</v>
      </c>
      <c r="E8" s="272" t="s">
        <v>14</v>
      </c>
      <c r="F8" s="273" t="s">
        <v>262</v>
      </c>
      <c r="G8" s="273" t="s">
        <v>263</v>
      </c>
      <c r="H8" s="273" t="s">
        <v>12</v>
      </c>
      <c r="I8" s="273" t="s">
        <v>12</v>
      </c>
    </row>
    <row r="9" spans="1:9" ht="23.25">
      <c r="A9" s="274"/>
      <c r="B9" s="275"/>
      <c r="C9" s="276" t="s">
        <v>15</v>
      </c>
      <c r="D9" s="277">
        <v>2002</v>
      </c>
      <c r="E9" s="278">
        <v>2002</v>
      </c>
      <c r="F9" s="279" t="s">
        <v>264</v>
      </c>
      <c r="G9" s="279" t="s">
        <v>16</v>
      </c>
      <c r="H9" s="279" t="s">
        <v>265</v>
      </c>
      <c r="I9" s="279" t="s">
        <v>17</v>
      </c>
    </row>
    <row r="10" spans="1:9" ht="23.25">
      <c r="A10" s="274"/>
      <c r="B10" s="274"/>
      <c r="C10" s="280">
        <v>1</v>
      </c>
      <c r="D10" s="277">
        <v>2</v>
      </c>
      <c r="E10" s="279">
        <v>3</v>
      </c>
      <c r="F10" s="281">
        <v>4</v>
      </c>
      <c r="G10" s="281">
        <v>5</v>
      </c>
      <c r="H10" s="281">
        <v>6</v>
      </c>
      <c r="I10" s="281">
        <v>7</v>
      </c>
    </row>
    <row r="11" spans="1:9" ht="23.25">
      <c r="A11" s="282" t="s">
        <v>18</v>
      </c>
      <c r="B11" s="283" t="s">
        <v>266</v>
      </c>
      <c r="C11" s="284">
        <f>SUM(C12+C37)</f>
        <v>15166.5</v>
      </c>
      <c r="D11" s="284">
        <f>SUM(D12+D37)</f>
        <v>16383</v>
      </c>
      <c r="E11" s="284">
        <f>SUM(E12+E37)</f>
        <v>15342.3</v>
      </c>
      <c r="F11" s="284">
        <f>SUM(F12+F37)</f>
        <v>18755.300000000003</v>
      </c>
      <c r="G11" s="285">
        <f>SUM(F11/C11)*100</f>
        <v>123.66267761184191</v>
      </c>
      <c r="H11" s="285">
        <f>SUM(F11/D11)*100</f>
        <v>114.48025392174816</v>
      </c>
      <c r="I11" s="285">
        <f>SUM(F11/E11)*100</f>
        <v>122.24568676143737</v>
      </c>
    </row>
    <row r="12" spans="1:9" ht="23.25">
      <c r="A12" s="282" t="s">
        <v>19</v>
      </c>
      <c r="B12" s="283" t="s">
        <v>20</v>
      </c>
      <c r="C12" s="286">
        <f>SUM(C15+C20+C35)</f>
        <v>12101</v>
      </c>
      <c r="D12" s="286">
        <f>SUM(D15+D20+D35)</f>
        <v>11986.7</v>
      </c>
      <c r="E12" s="286">
        <f>SUM(E15+E20+E35)</f>
        <v>11365.6</v>
      </c>
      <c r="F12" s="286">
        <f>SUM(F15+F20+F35)</f>
        <v>12226.400000000001</v>
      </c>
      <c r="G12" s="285">
        <f>SUM(F12/C12)*100</f>
        <v>101.03627799355425</v>
      </c>
      <c r="H12" s="285">
        <f aca="true" t="shared" si="0" ref="H12:H76">SUM(F12/D12)*100</f>
        <v>101.99971635229046</v>
      </c>
      <c r="I12" s="285">
        <f aca="true" t="shared" si="1" ref="I12:I76">SUM(F12/E12)*100</f>
        <v>107.57373125923841</v>
      </c>
    </row>
    <row r="13" spans="1:9" ht="23.25">
      <c r="A13" s="287" t="s">
        <v>21</v>
      </c>
      <c r="B13" s="288" t="s">
        <v>22</v>
      </c>
      <c r="C13" s="289">
        <f>SUM(C15+C20)</f>
        <v>12101</v>
      </c>
      <c r="D13" s="289">
        <f>SUM(D15+D20)</f>
        <v>11986.7</v>
      </c>
      <c r="E13" s="289">
        <f>SUM(E15+E20)</f>
        <v>11365.6</v>
      </c>
      <c r="F13" s="289">
        <f>SUM(F15+F20)</f>
        <v>12226.400000000001</v>
      </c>
      <c r="G13" s="285">
        <f>SUM(F13/C13)*100</f>
        <v>101.03627799355425</v>
      </c>
      <c r="H13" s="285">
        <f t="shared" si="0"/>
        <v>101.99971635229046</v>
      </c>
      <c r="I13" s="285">
        <f t="shared" si="1"/>
        <v>107.57373125923841</v>
      </c>
    </row>
    <row r="14" spans="1:9" ht="23.25">
      <c r="A14" s="287"/>
      <c r="B14" s="288"/>
      <c r="C14" s="289"/>
      <c r="D14" s="289"/>
      <c r="E14" s="289"/>
      <c r="F14" s="289"/>
      <c r="G14" s="285"/>
      <c r="H14" s="285"/>
      <c r="I14" s="285"/>
    </row>
    <row r="15" spans="1:9" ht="23.25">
      <c r="A15" s="282" t="s">
        <v>23</v>
      </c>
      <c r="B15" s="283" t="s">
        <v>24</v>
      </c>
      <c r="C15" s="290">
        <f>SUM(C16,C17,C18)</f>
        <v>1872.1</v>
      </c>
      <c r="D15" s="290">
        <f>SUM(D16,D17,D18)</f>
        <v>924</v>
      </c>
      <c r="E15" s="291">
        <f>SUM(E16:E17)</f>
        <v>1029</v>
      </c>
      <c r="F15" s="292">
        <f>SUM(F16:F17)</f>
        <v>854.5</v>
      </c>
      <c r="G15" s="285">
        <f>SUM(F15/C15)*100</f>
        <v>45.6439292772822</v>
      </c>
      <c r="H15" s="285">
        <f t="shared" si="0"/>
        <v>92.47835497835499</v>
      </c>
      <c r="I15" s="285">
        <f t="shared" si="1"/>
        <v>83.04178814382897</v>
      </c>
    </row>
    <row r="16" spans="1:9" ht="23.25">
      <c r="A16" s="287"/>
      <c r="B16" s="288" t="s">
        <v>25</v>
      </c>
      <c r="C16" s="293">
        <v>427.6</v>
      </c>
      <c r="D16" s="294">
        <v>320</v>
      </c>
      <c r="E16" s="289">
        <v>425</v>
      </c>
      <c r="F16" s="295">
        <v>481.6</v>
      </c>
      <c r="G16" s="285">
        <f>SUM(F16/C16)*100</f>
        <v>112.62862488306828</v>
      </c>
      <c r="H16" s="285">
        <f t="shared" si="0"/>
        <v>150.5</v>
      </c>
      <c r="I16" s="285">
        <f t="shared" si="1"/>
        <v>113.31764705882354</v>
      </c>
    </row>
    <row r="17" spans="1:9" ht="23.25">
      <c r="A17" s="287"/>
      <c r="B17" s="288" t="s">
        <v>26</v>
      </c>
      <c r="C17" s="293">
        <v>1390.4</v>
      </c>
      <c r="D17" s="294">
        <v>604</v>
      </c>
      <c r="E17" s="289">
        <v>604</v>
      </c>
      <c r="F17" s="295">
        <v>372.9</v>
      </c>
      <c r="G17" s="285">
        <f>SUM(F17/C17)*100</f>
        <v>26.819620253164555</v>
      </c>
      <c r="H17" s="285">
        <f t="shared" si="0"/>
        <v>61.73841059602648</v>
      </c>
      <c r="I17" s="285">
        <f t="shared" si="1"/>
        <v>61.73841059602648</v>
      </c>
    </row>
    <row r="18" spans="1:9" ht="23.25">
      <c r="A18" s="287"/>
      <c r="B18" s="288" t="s">
        <v>27</v>
      </c>
      <c r="C18" s="293">
        <v>54.1</v>
      </c>
      <c r="D18" s="296"/>
      <c r="E18" s="288"/>
      <c r="F18" s="295"/>
      <c r="G18" s="285">
        <f>SUM(F18/C18)*100</f>
        <v>0</v>
      </c>
      <c r="H18" s="285"/>
      <c r="I18" s="285"/>
    </row>
    <row r="19" spans="1:9" ht="23.25">
      <c r="A19" s="287"/>
      <c r="B19" s="288"/>
      <c r="C19" s="293"/>
      <c r="D19" s="296"/>
      <c r="E19" s="288"/>
      <c r="F19" s="295"/>
      <c r="G19" s="285"/>
      <c r="H19" s="285"/>
      <c r="I19" s="285"/>
    </row>
    <row r="20" spans="1:9" ht="23.25">
      <c r="A20" s="282" t="s">
        <v>28</v>
      </c>
      <c r="B20" s="283" t="s">
        <v>29</v>
      </c>
      <c r="C20" s="297">
        <f>SUM(C21+C31+C33)</f>
        <v>10228.9</v>
      </c>
      <c r="D20" s="297">
        <f>SUM(D21+D31+D33)</f>
        <v>11062.7</v>
      </c>
      <c r="E20" s="297">
        <f>SUM(E21+E31+E33)</f>
        <v>10336.6</v>
      </c>
      <c r="F20" s="297">
        <f>SUM(F21+F31+F33)</f>
        <v>11371.900000000001</v>
      </c>
      <c r="G20" s="285">
        <f aca="true" t="shared" si="2" ref="G20:G28">SUM(F20/C20)*100</f>
        <v>111.17422205711271</v>
      </c>
      <c r="H20" s="285">
        <f t="shared" si="0"/>
        <v>102.79497771791696</v>
      </c>
      <c r="I20" s="285">
        <f t="shared" si="1"/>
        <v>110.01586595205389</v>
      </c>
    </row>
    <row r="21" spans="1:9" ht="23.25">
      <c r="A21" s="282" t="s">
        <v>30</v>
      </c>
      <c r="B21" s="298" t="s">
        <v>267</v>
      </c>
      <c r="C21" s="297">
        <f>SUM(C24+C27)</f>
        <v>9393.5</v>
      </c>
      <c r="D21" s="297">
        <f>SUM(D24+D27)</f>
        <v>10262.7</v>
      </c>
      <c r="E21" s="297">
        <f>SUM(E24+E27)</f>
        <v>9694</v>
      </c>
      <c r="F21" s="297">
        <f>SUM(F24+F27)</f>
        <v>10420.300000000001</v>
      </c>
      <c r="G21" s="285">
        <f t="shared" si="2"/>
        <v>110.93096289987758</v>
      </c>
      <c r="H21" s="285">
        <f t="shared" si="0"/>
        <v>101.53565825757353</v>
      </c>
      <c r="I21" s="285">
        <f t="shared" si="1"/>
        <v>107.49226325562205</v>
      </c>
    </row>
    <row r="22" spans="1:9" ht="23.25">
      <c r="A22" s="282"/>
      <c r="B22" s="299" t="s">
        <v>31</v>
      </c>
      <c r="C22" s="300">
        <v>277</v>
      </c>
      <c r="D22" s="289">
        <v>272.1</v>
      </c>
      <c r="E22" s="293">
        <v>0</v>
      </c>
      <c r="F22" s="295">
        <v>449</v>
      </c>
      <c r="G22" s="285">
        <f t="shared" si="2"/>
        <v>162.09386281588448</v>
      </c>
      <c r="H22" s="285">
        <f t="shared" si="0"/>
        <v>165.01286291804482</v>
      </c>
      <c r="I22" s="285"/>
    </row>
    <row r="23" spans="1:9" ht="23.25">
      <c r="A23" s="282"/>
      <c r="B23" s="299" t="s">
        <v>32</v>
      </c>
      <c r="C23" s="300">
        <v>58</v>
      </c>
      <c r="D23" s="289">
        <v>500</v>
      </c>
      <c r="E23" s="293">
        <v>500</v>
      </c>
      <c r="F23" s="295">
        <v>58</v>
      </c>
      <c r="G23" s="285">
        <f t="shared" si="2"/>
        <v>100</v>
      </c>
      <c r="H23" s="285">
        <f t="shared" si="0"/>
        <v>11.600000000000001</v>
      </c>
      <c r="I23" s="285">
        <f t="shared" si="1"/>
        <v>11.600000000000001</v>
      </c>
    </row>
    <row r="24" spans="1:9" ht="23.25">
      <c r="A24" s="288"/>
      <c r="B24" s="288" t="s">
        <v>33</v>
      </c>
      <c r="C24" s="293">
        <v>8965.9</v>
      </c>
      <c r="D24" s="289">
        <v>9873.5</v>
      </c>
      <c r="E24" s="293">
        <v>9269</v>
      </c>
      <c r="F24" s="301">
        <v>9934.6</v>
      </c>
      <c r="G24" s="285">
        <f t="shared" si="2"/>
        <v>110.80426951003246</v>
      </c>
      <c r="H24" s="285">
        <f t="shared" si="0"/>
        <v>100.61882817643186</v>
      </c>
      <c r="I24" s="285">
        <f t="shared" si="1"/>
        <v>107.18092566619917</v>
      </c>
    </row>
    <row r="25" spans="1:9" ht="23.25">
      <c r="A25" s="288"/>
      <c r="B25" s="288" t="s">
        <v>34</v>
      </c>
      <c r="C25" s="293">
        <v>749.3</v>
      </c>
      <c r="D25" s="294">
        <v>772.1</v>
      </c>
      <c r="E25" s="293">
        <v>549.8</v>
      </c>
      <c r="F25" s="301">
        <v>1003.5</v>
      </c>
      <c r="G25" s="285">
        <f t="shared" si="2"/>
        <v>133.92499666355266</v>
      </c>
      <c r="H25" s="285">
        <f t="shared" si="0"/>
        <v>129.97021111255017</v>
      </c>
      <c r="I25" s="285">
        <f t="shared" si="1"/>
        <v>182.52091669698075</v>
      </c>
    </row>
    <row r="26" spans="1:9" ht="23.25">
      <c r="A26" s="288"/>
      <c r="B26" s="302" t="s">
        <v>35</v>
      </c>
      <c r="C26" s="297">
        <f>SUM(C24-C25)</f>
        <v>8216.6</v>
      </c>
      <c r="D26" s="297">
        <f>SUM(D24-D25)</f>
        <v>9101.4</v>
      </c>
      <c r="E26" s="297">
        <f>SUM(E24-E25)</f>
        <v>8719.2</v>
      </c>
      <c r="F26" s="297">
        <v>8963.9</v>
      </c>
      <c r="G26" s="285">
        <f t="shared" si="2"/>
        <v>109.09500279921134</v>
      </c>
      <c r="H26" s="285">
        <f t="shared" si="0"/>
        <v>98.48924341310128</v>
      </c>
      <c r="I26" s="285">
        <f t="shared" si="1"/>
        <v>102.8064501330397</v>
      </c>
    </row>
    <row r="27" spans="1:9" ht="23.25">
      <c r="A27" s="288"/>
      <c r="B27" s="288" t="s">
        <v>36</v>
      </c>
      <c r="C27" s="293">
        <v>427.6</v>
      </c>
      <c r="D27" s="289">
        <v>389.2</v>
      </c>
      <c r="E27" s="293">
        <v>425</v>
      </c>
      <c r="F27" s="301">
        <v>485.7</v>
      </c>
      <c r="G27" s="285">
        <f t="shared" si="2"/>
        <v>113.58746492048644</v>
      </c>
      <c r="H27" s="285">
        <f t="shared" si="0"/>
        <v>124.79445015416239</v>
      </c>
      <c r="I27" s="285">
        <f t="shared" si="1"/>
        <v>114.28235294117646</v>
      </c>
    </row>
    <row r="28" spans="1:9" ht="23.25">
      <c r="A28" s="288"/>
      <c r="B28" s="303" t="s">
        <v>37</v>
      </c>
      <c r="C28" s="296">
        <f>SUM(C27-(C29+C30))</f>
        <v>427.6</v>
      </c>
      <c r="D28" s="304">
        <f>SUM(D27-(D29+D30))</f>
        <v>389.2</v>
      </c>
      <c r="E28" s="304">
        <f>SUM(E27-(E29+E30))</f>
        <v>425</v>
      </c>
      <c r="F28" s="292">
        <v>448.8</v>
      </c>
      <c r="G28" s="285">
        <f t="shared" si="2"/>
        <v>104.95790458372309</v>
      </c>
      <c r="H28" s="285">
        <f t="shared" si="0"/>
        <v>115.31346351490237</v>
      </c>
      <c r="I28" s="285">
        <f t="shared" si="1"/>
        <v>105.60000000000001</v>
      </c>
    </row>
    <row r="29" spans="1:9" ht="23.25">
      <c r="A29" s="288"/>
      <c r="B29" s="288" t="s">
        <v>268</v>
      </c>
      <c r="C29" s="293"/>
      <c r="D29" s="289">
        <v>0</v>
      </c>
      <c r="E29" s="293">
        <v>0</v>
      </c>
      <c r="F29" s="301">
        <v>32.8</v>
      </c>
      <c r="G29" s="285"/>
      <c r="H29" s="285"/>
      <c r="I29" s="285"/>
    </row>
    <row r="30" spans="1:9" ht="23.25">
      <c r="A30" s="288"/>
      <c r="B30" s="288" t="s">
        <v>269</v>
      </c>
      <c r="C30" s="293"/>
      <c r="D30" s="289">
        <v>0</v>
      </c>
      <c r="E30" s="293">
        <v>0</v>
      </c>
      <c r="F30" s="301">
        <v>4.1</v>
      </c>
      <c r="G30" s="285"/>
      <c r="H30" s="285"/>
      <c r="I30" s="285"/>
    </row>
    <row r="31" spans="1:9" ht="23.25">
      <c r="A31" s="282" t="s">
        <v>38</v>
      </c>
      <c r="B31" s="298" t="s">
        <v>270</v>
      </c>
      <c r="C31" s="293">
        <v>835.4</v>
      </c>
      <c r="D31" s="289">
        <v>800</v>
      </c>
      <c r="E31" s="293">
        <v>642.6</v>
      </c>
      <c r="F31" s="301">
        <v>936.1</v>
      </c>
      <c r="G31" s="285">
        <f>SUM(F31/C31)*100</f>
        <v>112.05410581757242</v>
      </c>
      <c r="H31" s="285">
        <f t="shared" si="0"/>
        <v>117.0125</v>
      </c>
      <c r="I31" s="285">
        <f t="shared" si="1"/>
        <v>145.67382508558978</v>
      </c>
    </row>
    <row r="32" spans="1:9" ht="23.25">
      <c r="A32" s="282"/>
      <c r="B32" s="288" t="s">
        <v>39</v>
      </c>
      <c r="C32" s="293">
        <v>81.8</v>
      </c>
      <c r="D32" s="289">
        <v>120</v>
      </c>
      <c r="E32" s="293">
        <v>144.5</v>
      </c>
      <c r="F32" s="301">
        <v>58.5</v>
      </c>
      <c r="G32" s="285">
        <f>SUM(F32/C32)*100</f>
        <v>71.5158924205379</v>
      </c>
      <c r="H32" s="285">
        <f t="shared" si="0"/>
        <v>48.75</v>
      </c>
      <c r="I32" s="285">
        <f t="shared" si="1"/>
        <v>40.484429065743946</v>
      </c>
    </row>
    <row r="33" spans="1:9" ht="23.25">
      <c r="A33" s="282" t="s">
        <v>40</v>
      </c>
      <c r="B33" s="298" t="s">
        <v>41</v>
      </c>
      <c r="C33" s="293">
        <v>0</v>
      </c>
      <c r="D33" s="293">
        <v>0</v>
      </c>
      <c r="E33" s="293">
        <v>0</v>
      </c>
      <c r="F33" s="301">
        <v>15.5</v>
      </c>
      <c r="G33" s="285"/>
      <c r="H33" s="285"/>
      <c r="I33" s="285"/>
    </row>
    <row r="34" spans="1:9" ht="23.25">
      <c r="A34" s="282"/>
      <c r="B34" s="298"/>
      <c r="C34" s="293"/>
      <c r="D34" s="293"/>
      <c r="E34" s="293"/>
      <c r="F34" s="301"/>
      <c r="G34" s="285"/>
      <c r="H34" s="285"/>
      <c r="I34" s="285"/>
    </row>
    <row r="35" spans="1:9" ht="23.25">
      <c r="A35" s="282" t="s">
        <v>42</v>
      </c>
      <c r="B35" s="283" t="s">
        <v>271</v>
      </c>
      <c r="C35" s="293">
        <v>0</v>
      </c>
      <c r="D35" s="289">
        <v>0</v>
      </c>
      <c r="E35" s="293">
        <v>0</v>
      </c>
      <c r="F35" s="301">
        <v>0</v>
      </c>
      <c r="G35" s="285"/>
      <c r="H35" s="285"/>
      <c r="I35" s="285"/>
    </row>
    <row r="36" spans="1:9" ht="23.25">
      <c r="A36" s="282"/>
      <c r="B36" s="283"/>
      <c r="C36" s="293"/>
      <c r="D36" s="289"/>
      <c r="E36" s="293"/>
      <c r="F36" s="301"/>
      <c r="G36" s="285"/>
      <c r="H36" s="285"/>
      <c r="I36" s="285"/>
    </row>
    <row r="37" spans="1:9" ht="23.25">
      <c r="A37" s="282" t="s">
        <v>43</v>
      </c>
      <c r="B37" s="283" t="s">
        <v>44</v>
      </c>
      <c r="C37" s="305">
        <v>3065.5</v>
      </c>
      <c r="D37" s="286">
        <v>4396.3</v>
      </c>
      <c r="E37" s="305">
        <v>3976.7</v>
      </c>
      <c r="F37" s="306">
        <v>6528.9</v>
      </c>
      <c r="G37" s="285">
        <f>SUM(F37/C37)*100</f>
        <v>212.97993801989884</v>
      </c>
      <c r="H37" s="285">
        <f t="shared" si="0"/>
        <v>148.50897345495073</v>
      </c>
      <c r="I37" s="285">
        <f t="shared" si="1"/>
        <v>164.17884175321248</v>
      </c>
    </row>
    <row r="38" spans="1:9" ht="23.25">
      <c r="A38" s="282"/>
      <c r="B38" s="283"/>
      <c r="C38" s="305"/>
      <c r="D38" s="286"/>
      <c r="E38" s="305"/>
      <c r="F38" s="306"/>
      <c r="G38" s="285"/>
      <c r="H38" s="285"/>
      <c r="I38" s="285"/>
    </row>
    <row r="39" spans="1:9" ht="23.25">
      <c r="A39" s="287" t="s">
        <v>45</v>
      </c>
      <c r="B39" s="283" t="s">
        <v>46</v>
      </c>
      <c r="C39" s="293">
        <v>14130.8</v>
      </c>
      <c r="D39" s="307"/>
      <c r="E39" s="308"/>
      <c r="F39" s="301">
        <v>12610.5</v>
      </c>
      <c r="G39" s="285">
        <f>SUM(F39/C39)*100</f>
        <v>89.24123191892886</v>
      </c>
      <c r="H39" s="285"/>
      <c r="I39" s="285"/>
    </row>
    <row r="40" spans="1:9" ht="23.25">
      <c r="A40" s="288"/>
      <c r="B40" s="288" t="s">
        <v>47</v>
      </c>
      <c r="C40" s="293"/>
      <c r="D40" s="289"/>
      <c r="E40" s="308"/>
      <c r="F40" s="301"/>
      <c r="G40" s="285"/>
      <c r="H40" s="285"/>
      <c r="I40" s="285"/>
    </row>
    <row r="41" spans="1:9" ht="23.25">
      <c r="A41" s="288"/>
      <c r="B41" s="288" t="s">
        <v>48</v>
      </c>
      <c r="C41" s="293">
        <v>9674.4</v>
      </c>
      <c r="D41" s="289"/>
      <c r="E41" s="308"/>
      <c r="F41" s="301">
        <v>7842.7</v>
      </c>
      <c r="G41" s="285">
        <f>SUM(F41/C41)*100</f>
        <v>81.06652608947324</v>
      </c>
      <c r="H41" s="285"/>
      <c r="I41" s="285"/>
    </row>
    <row r="42" spans="1:9" ht="23.25">
      <c r="A42" s="288"/>
      <c r="B42" s="288" t="s">
        <v>49</v>
      </c>
      <c r="C42" s="293">
        <v>5592.7</v>
      </c>
      <c r="D42" s="289"/>
      <c r="E42" s="308"/>
      <c r="F42" s="301">
        <v>3993.4</v>
      </c>
      <c r="G42" s="285">
        <f>SUM(F42/C42)*100</f>
        <v>71.40379423176641</v>
      </c>
      <c r="H42" s="285"/>
      <c r="I42" s="285"/>
    </row>
    <row r="43" spans="1:9" ht="23.25">
      <c r="A43" s="288"/>
      <c r="B43" s="288" t="s">
        <v>50</v>
      </c>
      <c r="C43" s="293">
        <v>3824</v>
      </c>
      <c r="D43" s="289"/>
      <c r="E43" s="308"/>
      <c r="F43" s="301">
        <v>3965.5</v>
      </c>
      <c r="G43" s="285">
        <f>SUM(F43/C43)*100</f>
        <v>103.70031380753137</v>
      </c>
      <c r="H43" s="285"/>
      <c r="I43" s="285"/>
    </row>
    <row r="44" spans="1:9" ht="23.25">
      <c r="A44" s="288"/>
      <c r="B44" s="288"/>
      <c r="C44" s="293"/>
      <c r="D44" s="289"/>
      <c r="E44" s="308"/>
      <c r="F44" s="301"/>
      <c r="G44" s="285"/>
      <c r="H44" s="285"/>
      <c r="I44" s="285"/>
    </row>
    <row r="45" spans="1:9" ht="23.25">
      <c r="A45" s="282" t="s">
        <v>51</v>
      </c>
      <c r="B45" s="283" t="s">
        <v>52</v>
      </c>
      <c r="C45" s="286">
        <f>SUM(C47+C59+C64+C66)</f>
        <v>8637.6</v>
      </c>
      <c r="D45" s="286">
        <f>SUM(D47+D59+D64+D66)</f>
        <v>11477.5</v>
      </c>
      <c r="E45" s="286">
        <f>SUM(E47+E59+E64+E66)</f>
        <v>12112.9</v>
      </c>
      <c r="F45" s="286">
        <f>SUM(F47+F59+F64+F66)</f>
        <v>10576.5</v>
      </c>
      <c r="G45" s="285">
        <f>SUM(F45/C45)*100</f>
        <v>122.4472075576549</v>
      </c>
      <c r="H45" s="285">
        <f t="shared" si="0"/>
        <v>92.14985841864518</v>
      </c>
      <c r="I45" s="285">
        <f t="shared" si="1"/>
        <v>87.31600194833608</v>
      </c>
    </row>
    <row r="46" spans="1:9" ht="23.25">
      <c r="A46" s="282"/>
      <c r="B46" s="283"/>
      <c r="C46" s="286"/>
      <c r="D46" s="286"/>
      <c r="E46" s="286"/>
      <c r="F46" s="286"/>
      <c r="G46" s="285"/>
      <c r="H46" s="285"/>
      <c r="I46" s="285"/>
    </row>
    <row r="47" spans="1:9" ht="23.25">
      <c r="A47" s="309" t="s">
        <v>53</v>
      </c>
      <c r="B47" s="310" t="s">
        <v>54</v>
      </c>
      <c r="C47" s="311">
        <f>SUM(C48+C55)</f>
        <v>7024.1</v>
      </c>
      <c r="D47" s="311">
        <f>SUM(D48+D55)</f>
        <v>9507.5</v>
      </c>
      <c r="E47" s="311">
        <f>SUM(E48+E55)</f>
        <v>9555.6</v>
      </c>
      <c r="F47" s="311">
        <f>SUM(F48+F55)</f>
        <v>8695.6</v>
      </c>
      <c r="G47" s="285">
        <f aca="true" t="shared" si="3" ref="G47:G52">SUM(F47/C47)*100</f>
        <v>123.79664298629005</v>
      </c>
      <c r="H47" s="285">
        <f t="shared" si="0"/>
        <v>91.46042597948988</v>
      </c>
      <c r="I47" s="285">
        <f t="shared" si="1"/>
        <v>91.00004186027041</v>
      </c>
    </row>
    <row r="48" spans="1:9" ht="23.25">
      <c r="A48" s="312" t="s">
        <v>55</v>
      </c>
      <c r="B48" s="298" t="s">
        <v>56</v>
      </c>
      <c r="C48" s="300">
        <v>2234.9</v>
      </c>
      <c r="D48" s="297">
        <v>3482.7</v>
      </c>
      <c r="E48" s="300">
        <v>3904</v>
      </c>
      <c r="F48" s="292">
        <v>3482.6</v>
      </c>
      <c r="G48" s="285">
        <f t="shared" si="3"/>
        <v>155.8280012528525</v>
      </c>
      <c r="H48" s="285">
        <f t="shared" si="0"/>
        <v>99.99712866454188</v>
      </c>
      <c r="I48" s="285">
        <f t="shared" si="1"/>
        <v>89.20594262295081</v>
      </c>
    </row>
    <row r="49" spans="1:9" ht="23.25">
      <c r="A49" s="287"/>
      <c r="B49" s="288" t="s">
        <v>57</v>
      </c>
      <c r="C49" s="293">
        <v>3.6</v>
      </c>
      <c r="D49" s="289">
        <v>618.1</v>
      </c>
      <c r="E49" s="313">
        <v>618.1</v>
      </c>
      <c r="F49" s="301"/>
      <c r="G49" s="285">
        <f t="shared" si="3"/>
        <v>0</v>
      </c>
      <c r="H49" s="285">
        <f t="shared" si="0"/>
        <v>0</v>
      </c>
      <c r="I49" s="285">
        <f t="shared" si="1"/>
        <v>0</v>
      </c>
    </row>
    <row r="50" spans="1:9" ht="23.25">
      <c r="A50" s="287"/>
      <c r="B50" s="288" t="s">
        <v>58</v>
      </c>
      <c r="C50" s="293">
        <v>2231.3</v>
      </c>
      <c r="D50" s="289">
        <v>2864.6</v>
      </c>
      <c r="E50" s="313">
        <v>2985.9</v>
      </c>
      <c r="F50" s="301"/>
      <c r="G50" s="285">
        <f t="shared" si="3"/>
        <v>0</v>
      </c>
      <c r="H50" s="285">
        <f t="shared" si="0"/>
        <v>0</v>
      </c>
      <c r="I50" s="285">
        <f t="shared" si="1"/>
        <v>0</v>
      </c>
    </row>
    <row r="51" spans="1:9" ht="23.25">
      <c r="A51" s="314"/>
      <c r="B51" s="299" t="s">
        <v>272</v>
      </c>
      <c r="C51" s="293">
        <v>1390.4</v>
      </c>
      <c r="D51" s="294">
        <v>604</v>
      </c>
      <c r="E51" s="313">
        <v>604</v>
      </c>
      <c r="F51" s="301">
        <v>328.8</v>
      </c>
      <c r="G51" s="285">
        <f t="shared" si="3"/>
        <v>23.647871116225545</v>
      </c>
      <c r="H51" s="285">
        <f t="shared" si="0"/>
        <v>54.437086092715234</v>
      </c>
      <c r="I51" s="285">
        <f t="shared" si="1"/>
        <v>54.437086092715234</v>
      </c>
    </row>
    <row r="52" spans="1:9" ht="23.25">
      <c r="A52" s="314"/>
      <c r="B52" s="299" t="s">
        <v>59</v>
      </c>
      <c r="C52" s="293">
        <v>54.1</v>
      </c>
      <c r="D52" s="294"/>
      <c r="E52" s="315"/>
      <c r="F52" s="301"/>
      <c r="G52" s="285">
        <f t="shared" si="3"/>
        <v>0</v>
      </c>
      <c r="H52" s="285"/>
      <c r="I52" s="285"/>
    </row>
    <row r="53" spans="1:9" ht="23.25">
      <c r="A53" s="314"/>
      <c r="B53" s="299" t="s">
        <v>273</v>
      </c>
      <c r="C53" s="293"/>
      <c r="D53" s="294"/>
      <c r="E53" s="315"/>
      <c r="F53" s="301">
        <v>38</v>
      </c>
      <c r="G53" s="285"/>
      <c r="H53" s="285"/>
      <c r="I53" s="285"/>
    </row>
    <row r="54" spans="1:9" ht="23.25">
      <c r="A54" s="314"/>
      <c r="B54" s="299" t="s">
        <v>274</v>
      </c>
      <c r="C54" s="293"/>
      <c r="D54" s="294"/>
      <c r="E54" s="315"/>
      <c r="F54" s="301">
        <v>6.1</v>
      </c>
      <c r="G54" s="285"/>
      <c r="H54" s="285"/>
      <c r="I54" s="285"/>
    </row>
    <row r="55" spans="1:9" ht="23.25">
      <c r="A55" s="312" t="s">
        <v>60</v>
      </c>
      <c r="B55" s="298" t="s">
        <v>61</v>
      </c>
      <c r="C55" s="300">
        <v>4789.2</v>
      </c>
      <c r="D55" s="297">
        <v>6024.8</v>
      </c>
      <c r="E55" s="291">
        <v>5651.6</v>
      </c>
      <c r="F55" s="316">
        <v>5213</v>
      </c>
      <c r="G55" s="285">
        <f>SUM(F55/C55)*100</f>
        <v>108.84907709011944</v>
      </c>
      <c r="H55" s="285">
        <f t="shared" si="0"/>
        <v>86.52569379896427</v>
      </c>
      <c r="I55" s="285">
        <f t="shared" si="1"/>
        <v>92.239365843301</v>
      </c>
    </row>
    <row r="56" spans="1:9" ht="23.25">
      <c r="A56" s="287"/>
      <c r="B56" s="288" t="s">
        <v>62</v>
      </c>
      <c r="C56" s="293">
        <v>3450</v>
      </c>
      <c r="D56" s="289">
        <v>4284</v>
      </c>
      <c r="E56" s="313">
        <v>3993.2</v>
      </c>
      <c r="F56" s="317">
        <v>3756.2</v>
      </c>
      <c r="G56" s="285">
        <f>SUM(F56/C56)*100</f>
        <v>108.87536231884059</v>
      </c>
      <c r="H56" s="285">
        <f t="shared" si="0"/>
        <v>87.6797385620915</v>
      </c>
      <c r="I56" s="285">
        <f t="shared" si="1"/>
        <v>94.0649103475909</v>
      </c>
    </row>
    <row r="57" spans="1:9" ht="23.25">
      <c r="A57" s="287"/>
      <c r="B57" s="288" t="s">
        <v>63</v>
      </c>
      <c r="C57" s="293">
        <v>1339.2</v>
      </c>
      <c r="D57" s="289">
        <v>1740.8</v>
      </c>
      <c r="E57" s="313">
        <v>1658.4</v>
      </c>
      <c r="F57" s="317">
        <v>1456.8</v>
      </c>
      <c r="G57" s="285">
        <f>SUM(F57/C57)*100</f>
        <v>108.78136200716845</v>
      </c>
      <c r="H57" s="285">
        <f t="shared" si="0"/>
        <v>83.68566176470587</v>
      </c>
      <c r="I57" s="285">
        <f t="shared" si="1"/>
        <v>87.8437047756874</v>
      </c>
    </row>
    <row r="58" spans="1:9" ht="23.25">
      <c r="A58" s="287"/>
      <c r="B58" s="288"/>
      <c r="C58" s="293"/>
      <c r="D58" s="289"/>
      <c r="E58" s="313"/>
      <c r="F58" s="317"/>
      <c r="G58" s="285"/>
      <c r="H58" s="285"/>
      <c r="I58" s="285"/>
    </row>
    <row r="59" spans="1:9" ht="23.25">
      <c r="A59" s="309" t="s">
        <v>64</v>
      </c>
      <c r="B59" s="310" t="s">
        <v>65</v>
      </c>
      <c r="C59" s="311">
        <v>1524.1</v>
      </c>
      <c r="D59" s="311">
        <v>1770</v>
      </c>
      <c r="E59" s="311">
        <v>1707.3</v>
      </c>
      <c r="F59" s="306">
        <v>1698.8</v>
      </c>
      <c r="G59" s="285">
        <f>SUM(F59/C59)*100</f>
        <v>111.46250246046847</v>
      </c>
      <c r="H59" s="285">
        <f t="shared" si="0"/>
        <v>95.9774011299435</v>
      </c>
      <c r="I59" s="285">
        <f t="shared" si="1"/>
        <v>99.50213787852165</v>
      </c>
    </row>
    <row r="60" spans="1:9" ht="23.25">
      <c r="A60" s="282"/>
      <c r="B60" s="318" t="s">
        <v>66</v>
      </c>
      <c r="C60" s="293">
        <v>1382.6</v>
      </c>
      <c r="D60" s="289">
        <v>1575.3</v>
      </c>
      <c r="E60" s="293">
        <v>1507.3</v>
      </c>
      <c r="F60" s="301">
        <v>1531.7</v>
      </c>
      <c r="G60" s="285">
        <f>SUM(F60/C60)*100</f>
        <v>110.78403008823956</v>
      </c>
      <c r="H60" s="285">
        <f t="shared" si="0"/>
        <v>97.23227321779979</v>
      </c>
      <c r="I60" s="285">
        <f t="shared" si="1"/>
        <v>101.61878856233</v>
      </c>
    </row>
    <row r="61" spans="1:9" ht="23.25">
      <c r="A61" s="282"/>
      <c r="B61" s="318" t="s">
        <v>67</v>
      </c>
      <c r="C61" s="293">
        <v>141.5</v>
      </c>
      <c r="D61" s="289">
        <v>194.7</v>
      </c>
      <c r="E61" s="293">
        <v>200</v>
      </c>
      <c r="F61" s="301">
        <v>167</v>
      </c>
      <c r="G61" s="285">
        <f>SUM(F61/C61)*100</f>
        <v>118.02120141342756</v>
      </c>
      <c r="H61" s="285">
        <f t="shared" si="0"/>
        <v>85.77298407806883</v>
      </c>
      <c r="I61" s="285">
        <f t="shared" si="1"/>
        <v>83.5</v>
      </c>
    </row>
    <row r="62" spans="1:9" ht="23.25">
      <c r="A62" s="282"/>
      <c r="B62" s="318" t="s">
        <v>68</v>
      </c>
      <c r="C62" s="293"/>
      <c r="D62" s="289"/>
      <c r="E62" s="293"/>
      <c r="F62" s="301">
        <v>0</v>
      </c>
      <c r="G62" s="285"/>
      <c r="H62" s="285"/>
      <c r="I62" s="285"/>
    </row>
    <row r="63" spans="1:9" ht="23.25">
      <c r="A63" s="282"/>
      <c r="B63" s="318"/>
      <c r="C63" s="293"/>
      <c r="D63" s="289"/>
      <c r="E63" s="293"/>
      <c r="F63" s="301"/>
      <c r="G63" s="285"/>
      <c r="H63" s="285"/>
      <c r="I63" s="285"/>
    </row>
    <row r="64" spans="1:9" ht="23.25">
      <c r="A64" s="282" t="s">
        <v>69</v>
      </c>
      <c r="B64" s="283" t="s">
        <v>70</v>
      </c>
      <c r="C64" s="305">
        <v>0</v>
      </c>
      <c r="D64" s="286">
        <v>0</v>
      </c>
      <c r="E64" s="305">
        <v>0</v>
      </c>
      <c r="F64" s="306">
        <v>0</v>
      </c>
      <c r="G64" s="285"/>
      <c r="H64" s="285"/>
      <c r="I64" s="285"/>
    </row>
    <row r="65" spans="1:9" ht="23.25">
      <c r="A65" s="282"/>
      <c r="B65" s="283"/>
      <c r="C65" s="305"/>
      <c r="D65" s="286"/>
      <c r="E65" s="305"/>
      <c r="F65" s="306"/>
      <c r="G65" s="285"/>
      <c r="H65" s="285"/>
      <c r="I65" s="285"/>
    </row>
    <row r="66" spans="1:9" ht="23.25">
      <c r="A66" s="309" t="s">
        <v>71</v>
      </c>
      <c r="B66" s="310" t="s">
        <v>72</v>
      </c>
      <c r="C66" s="311">
        <v>89.4</v>
      </c>
      <c r="D66" s="311">
        <v>200</v>
      </c>
      <c r="E66" s="311">
        <v>850</v>
      </c>
      <c r="F66" s="306">
        <v>182.1</v>
      </c>
      <c r="G66" s="285">
        <f>SUM(F66/C66)*100</f>
        <v>203.6912751677852</v>
      </c>
      <c r="H66" s="285">
        <f t="shared" si="0"/>
        <v>91.05</v>
      </c>
      <c r="I66" s="285">
        <f t="shared" si="1"/>
        <v>21.423529411764704</v>
      </c>
    </row>
    <row r="67" spans="1:9" ht="23.25">
      <c r="A67" s="309"/>
      <c r="B67" s="310"/>
      <c r="C67" s="311"/>
      <c r="D67" s="311"/>
      <c r="E67" s="311"/>
      <c r="F67" s="306"/>
      <c r="G67" s="285"/>
      <c r="H67" s="285"/>
      <c r="I67" s="285"/>
    </row>
    <row r="68" spans="1:9" ht="23.25">
      <c r="A68" s="282" t="s">
        <v>73</v>
      </c>
      <c r="B68" s="283" t="s">
        <v>74</v>
      </c>
      <c r="C68" s="293">
        <v>1042.5</v>
      </c>
      <c r="D68" s="307"/>
      <c r="E68" s="315"/>
      <c r="F68" s="301">
        <v>1603.8</v>
      </c>
      <c r="G68" s="285">
        <f>SUM(F68/C68)*100</f>
        <v>153.84172661870502</v>
      </c>
      <c r="H68" s="285"/>
      <c r="I68" s="285"/>
    </row>
    <row r="69" spans="1:9" ht="23.25">
      <c r="A69" s="288"/>
      <c r="B69" s="299" t="s">
        <v>75</v>
      </c>
      <c r="C69" s="293">
        <v>734.8</v>
      </c>
      <c r="D69" s="289"/>
      <c r="E69" s="315"/>
      <c r="F69" s="301">
        <v>1404.7</v>
      </c>
      <c r="G69" s="285">
        <f>SUM(F69/C69)*100</f>
        <v>191.16766467065872</v>
      </c>
      <c r="H69" s="285"/>
      <c r="I69" s="285"/>
    </row>
    <row r="70" spans="1:9" ht="23.25">
      <c r="A70" s="288"/>
      <c r="B70" s="299"/>
      <c r="C70" s="293"/>
      <c r="D70" s="289"/>
      <c r="E70" s="315"/>
      <c r="F70" s="301"/>
      <c r="G70" s="285"/>
      <c r="H70" s="285"/>
      <c r="I70" s="285"/>
    </row>
    <row r="71" spans="1:9" ht="23.25">
      <c r="A71" s="282" t="s">
        <v>76</v>
      </c>
      <c r="B71" s="283" t="s">
        <v>77</v>
      </c>
      <c r="C71" s="286">
        <f>SUM(C12-C45)</f>
        <v>3463.3999999999996</v>
      </c>
      <c r="D71" s="286">
        <f>SUM(D12-D45)</f>
        <v>509.2000000000007</v>
      </c>
      <c r="E71" s="286">
        <f>SUM(E12-E45)</f>
        <v>-747.2999999999993</v>
      </c>
      <c r="F71" s="286">
        <f>SUM(F12-F45)</f>
        <v>1649.9000000000015</v>
      </c>
      <c r="G71" s="285">
        <f aca="true" t="shared" si="4" ref="G71:G76">SUM(F71/C71)*100</f>
        <v>47.63815903447484</v>
      </c>
      <c r="H71" s="285">
        <f t="shared" si="0"/>
        <v>324.0180675569519</v>
      </c>
      <c r="I71" s="285">
        <f t="shared" si="1"/>
        <v>-220.78147999464778</v>
      </c>
    </row>
    <row r="72" spans="1:9" ht="23.25">
      <c r="A72" s="282" t="s">
        <v>78</v>
      </c>
      <c r="B72" s="319" t="s">
        <v>79</v>
      </c>
      <c r="C72" s="286">
        <f>SUM(C11-C45)</f>
        <v>6528.9</v>
      </c>
      <c r="D72" s="286">
        <f>SUM(D73:D76)</f>
        <v>4905.5</v>
      </c>
      <c r="E72" s="286">
        <f>SUM(E73:E76)</f>
        <v>3229.4</v>
      </c>
      <c r="F72" s="286">
        <f>SUM(F73:F76)</f>
        <v>8178.7</v>
      </c>
      <c r="G72" s="285">
        <f t="shared" si="4"/>
        <v>125.26918776516717</v>
      </c>
      <c r="H72" s="285">
        <f t="shared" si="0"/>
        <v>166.72510447456938</v>
      </c>
      <c r="I72" s="285">
        <f t="shared" si="1"/>
        <v>253.25757106583265</v>
      </c>
    </row>
    <row r="73" spans="1:9" ht="23.25">
      <c r="A73" s="288"/>
      <c r="B73" s="288" t="s">
        <v>80</v>
      </c>
      <c r="C73" s="293">
        <v>4016.9</v>
      </c>
      <c r="D73" s="289">
        <v>2057.4</v>
      </c>
      <c r="E73" s="315">
        <v>1380.9</v>
      </c>
      <c r="F73" s="301">
        <v>4960.9</v>
      </c>
      <c r="G73" s="285">
        <f t="shared" si="4"/>
        <v>123.50070950235255</v>
      </c>
      <c r="H73" s="285">
        <f t="shared" si="0"/>
        <v>241.12472052104596</v>
      </c>
      <c r="I73" s="285">
        <f t="shared" si="1"/>
        <v>359.2512129770439</v>
      </c>
    </row>
    <row r="74" spans="1:9" ht="23.25">
      <c r="A74" s="288"/>
      <c r="B74" s="288" t="s">
        <v>81</v>
      </c>
      <c r="C74" s="293">
        <v>1103.2</v>
      </c>
      <c r="D74" s="289">
        <v>1334.6</v>
      </c>
      <c r="E74" s="320">
        <v>943</v>
      </c>
      <c r="F74" s="301">
        <v>862.5</v>
      </c>
      <c r="G74" s="285">
        <f t="shared" si="4"/>
        <v>78.1816533720087</v>
      </c>
      <c r="H74" s="285">
        <f t="shared" si="0"/>
        <v>64.62610520005995</v>
      </c>
      <c r="I74" s="285">
        <f t="shared" si="1"/>
        <v>91.46341463414635</v>
      </c>
    </row>
    <row r="75" spans="1:9" ht="23.25">
      <c r="A75" s="288"/>
      <c r="B75" s="288" t="s">
        <v>82</v>
      </c>
      <c r="C75" s="293">
        <v>203.6</v>
      </c>
      <c r="D75" s="307">
        <v>0</v>
      </c>
      <c r="E75" s="293">
        <v>0</v>
      </c>
      <c r="F75" s="301">
        <v>337.3</v>
      </c>
      <c r="G75" s="285">
        <f t="shared" si="4"/>
        <v>165.6679764243615</v>
      </c>
      <c r="H75" s="285"/>
      <c r="I75" s="285"/>
    </row>
    <row r="76" spans="1:9" ht="23.25">
      <c r="A76" s="288"/>
      <c r="B76" s="288" t="s">
        <v>83</v>
      </c>
      <c r="C76" s="293">
        <v>1205.2</v>
      </c>
      <c r="D76" s="295">
        <v>1513.5</v>
      </c>
      <c r="E76" s="293">
        <v>905.5</v>
      </c>
      <c r="F76" s="301">
        <v>2018</v>
      </c>
      <c r="G76" s="285">
        <f t="shared" si="4"/>
        <v>167.44108861599733</v>
      </c>
      <c r="H76" s="285">
        <f t="shared" si="0"/>
        <v>133.33333333333331</v>
      </c>
      <c r="I76" s="285">
        <f t="shared" si="1"/>
        <v>222.86029817780232</v>
      </c>
    </row>
    <row r="77" spans="1:9" ht="20.25">
      <c r="A77" s="247"/>
      <c r="B77" s="321"/>
      <c r="C77" s="322"/>
      <c r="D77" s="323"/>
      <c r="E77" s="323"/>
      <c r="F77" s="324"/>
      <c r="G77" s="324"/>
      <c r="H77" s="325"/>
      <c r="I77" s="325"/>
    </row>
    <row r="78" spans="1:9" ht="18">
      <c r="A78" s="247"/>
      <c r="B78" s="247"/>
      <c r="C78" s="322"/>
      <c r="D78" s="326"/>
      <c r="E78" s="326"/>
      <c r="F78" s="327"/>
      <c r="G78" s="327"/>
      <c r="H78" s="327"/>
      <c r="I78" s="327"/>
    </row>
    <row r="79" spans="1:9" ht="18">
      <c r="A79" s="328" t="s">
        <v>84</v>
      </c>
      <c r="B79" s="329"/>
      <c r="C79" s="247"/>
      <c r="D79" s="322"/>
      <c r="E79" s="322"/>
      <c r="F79" s="327"/>
      <c r="G79" s="327"/>
      <c r="H79" s="327"/>
      <c r="I79" s="327"/>
    </row>
    <row r="80" spans="1:9" ht="18">
      <c r="A80" s="328"/>
      <c r="B80" s="329"/>
      <c r="C80" s="247"/>
      <c r="D80" s="322"/>
      <c r="E80" s="322"/>
      <c r="F80" s="327"/>
      <c r="G80" s="327"/>
      <c r="H80" s="327"/>
      <c r="I80" s="327"/>
    </row>
    <row r="81" spans="1:9" ht="18">
      <c r="A81" s="328" t="s">
        <v>275</v>
      </c>
      <c r="B81" s="329"/>
      <c r="C81" s="247"/>
      <c r="D81" s="322"/>
      <c r="E81" s="322"/>
      <c r="F81" s="327"/>
      <c r="G81" s="327"/>
      <c r="H81" s="327"/>
      <c r="I81" s="327"/>
    </row>
    <row r="82" spans="1:9" ht="20.25">
      <c r="A82" s="330" t="s">
        <v>85</v>
      </c>
      <c r="B82" s="330"/>
      <c r="C82" s="331"/>
      <c r="D82" s="331"/>
      <c r="E82" s="331"/>
      <c r="F82" s="327"/>
      <c r="G82" s="327"/>
      <c r="H82" s="327"/>
      <c r="I82" s="327"/>
    </row>
  </sheetData>
  <printOptions horizontalCentered="1" verticalCentered="1"/>
  <pageMargins left="0.1968503937007874" right="0.1968503937007874" top="0.1968503937007874" bottom="0.1968503937007874" header="0.1968503937007874" footer="0.1968503937007874"/>
  <pageSetup horizontalDpi="300" verticalDpi="300" orientation="landscape" paperSize="9" scale="31" r:id="rId1"/>
  <headerFooter alignWithMargins="0">
    <oddFooter>&amp;C34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77"/>
  <sheetViews>
    <sheetView view="pageBreakPreview" zoomScale="60" zoomScaleNormal="75" workbookViewId="0" topLeftCell="A1">
      <selection activeCell="E18" sqref="E18"/>
    </sheetView>
  </sheetViews>
  <sheetFormatPr defaultColWidth="9.140625" defaultRowHeight="12.75"/>
  <cols>
    <col min="1" max="1" width="6.421875" style="1" customWidth="1"/>
    <col min="2" max="2" width="61.28125" style="1" customWidth="1"/>
    <col min="3" max="3" width="19.00390625" style="1" bestFit="1" customWidth="1"/>
    <col min="4" max="4" width="21.421875" style="1" bestFit="1" customWidth="1"/>
    <col min="5" max="5" width="20.57421875" style="1" bestFit="1" customWidth="1"/>
    <col min="6" max="6" width="10.28125" style="1" customWidth="1"/>
    <col min="7" max="7" width="10.57421875" style="1" customWidth="1"/>
    <col min="8" max="16384" width="9.140625" style="1" customWidth="1"/>
  </cols>
  <sheetData>
    <row r="1" spans="1:4" ht="20.25">
      <c r="A1" s="3" t="s">
        <v>87</v>
      </c>
      <c r="B1" s="6"/>
      <c r="C1" s="7"/>
      <c r="D1" s="7"/>
    </row>
    <row r="2" spans="1:4" ht="15.75">
      <c r="A2" s="5"/>
      <c r="B2" s="6"/>
      <c r="C2" s="7"/>
      <c r="D2" s="7"/>
    </row>
    <row r="3" spans="1:7" ht="15.75">
      <c r="A3" s="8"/>
      <c r="B3" s="6"/>
      <c r="C3" s="7"/>
      <c r="D3" s="7"/>
      <c r="G3" s="9" t="s">
        <v>86</v>
      </c>
    </row>
    <row r="4" spans="1:4" ht="15.75">
      <c r="A4" s="8"/>
      <c r="B4" s="6"/>
      <c r="C4" s="7"/>
      <c r="D4" s="7"/>
    </row>
    <row r="5" spans="1:5" ht="15.75">
      <c r="A5" s="10"/>
      <c r="B5" s="11"/>
      <c r="C5" s="12" t="s">
        <v>88</v>
      </c>
      <c r="D5" s="13" t="s">
        <v>89</v>
      </c>
      <c r="E5" s="14" t="s">
        <v>90</v>
      </c>
    </row>
    <row r="6" spans="1:5" ht="16.5" thickBot="1">
      <c r="A6" s="15"/>
      <c r="B6" s="15"/>
      <c r="C6" s="16" t="s">
        <v>91</v>
      </c>
      <c r="D6" s="12" t="s">
        <v>92</v>
      </c>
      <c r="E6" s="16" t="s">
        <v>91</v>
      </c>
    </row>
    <row r="7" spans="1:7" ht="15.75">
      <c r="A7" s="17"/>
      <c r="B7" s="17"/>
      <c r="C7" s="18" t="s">
        <v>93</v>
      </c>
      <c r="D7" s="18" t="s">
        <v>94</v>
      </c>
      <c r="E7" s="18" t="s">
        <v>4</v>
      </c>
      <c r="F7" s="19" t="s">
        <v>95</v>
      </c>
      <c r="G7" s="19" t="s">
        <v>95</v>
      </c>
    </row>
    <row r="8" spans="1:7" ht="15.75">
      <c r="A8" s="20"/>
      <c r="B8" s="20"/>
      <c r="C8" s="21" t="s">
        <v>96</v>
      </c>
      <c r="D8" s="21" t="s">
        <v>96</v>
      </c>
      <c r="E8" s="22" t="s">
        <v>10</v>
      </c>
      <c r="F8" s="22" t="s">
        <v>6</v>
      </c>
      <c r="G8" s="22" t="s">
        <v>6</v>
      </c>
    </row>
    <row r="9" spans="1:7" ht="16.5" thickBot="1">
      <c r="A9" s="20"/>
      <c r="B9" s="20"/>
      <c r="C9" s="23">
        <v>2002</v>
      </c>
      <c r="D9" s="23">
        <v>2002</v>
      </c>
      <c r="E9" s="24">
        <v>2002</v>
      </c>
      <c r="F9" s="24"/>
      <c r="G9" s="24"/>
    </row>
    <row r="10" spans="1:7" ht="16.5" thickBot="1">
      <c r="A10" s="25"/>
      <c r="B10" s="20"/>
      <c r="C10" s="26" t="s">
        <v>97</v>
      </c>
      <c r="D10" s="26" t="s">
        <v>98</v>
      </c>
      <c r="E10" s="27">
        <v>4</v>
      </c>
      <c r="F10" s="26" t="s">
        <v>99</v>
      </c>
      <c r="G10" s="26" t="s">
        <v>100</v>
      </c>
    </row>
    <row r="11" spans="1:7" ht="15.75">
      <c r="A11" s="28" t="s">
        <v>18</v>
      </c>
      <c r="B11" s="29" t="s">
        <v>101</v>
      </c>
      <c r="C11" s="30">
        <f>SUM(C12+C33)</f>
        <v>94606.16179999999</v>
      </c>
      <c r="D11" s="30">
        <f>SUM(D12+D33)</f>
        <v>95240.773</v>
      </c>
      <c r="E11" s="30">
        <f>SUM(E12+E33)</f>
        <v>96856.819</v>
      </c>
      <c r="F11" s="31">
        <f aca="true" t="shared" si="0" ref="F11:F23">SUM(E11/C11*100)</f>
        <v>102.3789752772742</v>
      </c>
      <c r="G11" s="31">
        <f aca="true" t="shared" si="1" ref="G11:G23">SUM(E11/D11*100)</f>
        <v>101.69680059190615</v>
      </c>
    </row>
    <row r="12" spans="1:7" ht="16.5" thickBot="1">
      <c r="A12" s="32" t="s">
        <v>102</v>
      </c>
      <c r="B12" s="33" t="s">
        <v>103</v>
      </c>
      <c r="C12" s="34">
        <f>SUM(C13+C30+C31+C32)</f>
        <v>91888.96179999999</v>
      </c>
      <c r="D12" s="34">
        <f>SUM(D13+D30+D31+D32)</f>
        <v>91813.473</v>
      </c>
      <c r="E12" s="34">
        <f>SUM(E13+E32)</f>
        <v>91921.436</v>
      </c>
      <c r="F12" s="35">
        <f t="shared" si="0"/>
        <v>100.03534069747214</v>
      </c>
      <c r="G12" s="35">
        <f t="shared" si="1"/>
        <v>100.11758949582487</v>
      </c>
    </row>
    <row r="13" spans="1:7" ht="15.75">
      <c r="A13" s="21" t="s">
        <v>53</v>
      </c>
      <c r="B13" s="36" t="s">
        <v>104</v>
      </c>
      <c r="C13" s="37">
        <f>SUM(C14+C21+C29)</f>
        <v>91388.96179999999</v>
      </c>
      <c r="D13" s="37">
        <f>SUM(D14+D21+D29)</f>
        <v>91463.473</v>
      </c>
      <c r="E13" s="37">
        <f>SUM(E14+E21+E29)</f>
        <v>91558.272</v>
      </c>
      <c r="F13" s="38">
        <f t="shared" si="0"/>
        <v>100.1852632929243</v>
      </c>
      <c r="G13" s="38">
        <f t="shared" si="1"/>
        <v>100.10364684052617</v>
      </c>
    </row>
    <row r="14" spans="1:7" ht="15.75">
      <c r="A14" s="39" t="s">
        <v>55</v>
      </c>
      <c r="B14" s="36" t="s">
        <v>105</v>
      </c>
      <c r="C14" s="40">
        <f>SUM(C15:C20)-0.1</f>
        <v>83833.96179999999</v>
      </c>
      <c r="D14" s="40">
        <f>SUM(D15:D20)</f>
        <v>85147.269</v>
      </c>
      <c r="E14" s="40">
        <f>SUM(E15:E20)</f>
        <v>87431.19099999999</v>
      </c>
      <c r="F14" s="41">
        <f t="shared" si="0"/>
        <v>104.29089729599299</v>
      </c>
      <c r="G14" s="41">
        <f t="shared" si="1"/>
        <v>102.68231973476448</v>
      </c>
    </row>
    <row r="15" spans="1:7" ht="15.75">
      <c r="A15" s="42" t="s">
        <v>106</v>
      </c>
      <c r="B15" s="43" t="s">
        <v>107</v>
      </c>
      <c r="C15" s="41">
        <v>10959.6</v>
      </c>
      <c r="D15" s="41">
        <f>12956.665-625.086-28-D16-D17</f>
        <v>11168.841000000002</v>
      </c>
      <c r="E15" s="41">
        <v>11674.01</v>
      </c>
      <c r="F15" s="41">
        <f t="shared" si="0"/>
        <v>106.51857732034016</v>
      </c>
      <c r="G15" s="41">
        <f t="shared" si="1"/>
        <v>104.5230207861317</v>
      </c>
    </row>
    <row r="16" spans="1:7" ht="15.75">
      <c r="A16" s="42" t="s">
        <v>108</v>
      </c>
      <c r="B16" s="43" t="s">
        <v>109</v>
      </c>
      <c r="C16" s="41">
        <v>971.441</v>
      </c>
      <c r="D16" s="41">
        <v>971.442</v>
      </c>
      <c r="E16" s="41">
        <v>1034.56</v>
      </c>
      <c r="F16" s="41">
        <f t="shared" si="0"/>
        <v>106.49746098836677</v>
      </c>
      <c r="G16" s="41">
        <f t="shared" si="1"/>
        <v>106.49735136014296</v>
      </c>
    </row>
    <row r="17" spans="1:7" ht="15.75">
      <c r="A17" s="42" t="s">
        <v>110</v>
      </c>
      <c r="B17" s="43" t="s">
        <v>111</v>
      </c>
      <c r="C17" s="41">
        <v>163.8</v>
      </c>
      <c r="D17" s="41">
        <v>163.296</v>
      </c>
      <c r="E17" s="41">
        <v>136.728</v>
      </c>
      <c r="F17" s="41">
        <f t="shared" si="0"/>
        <v>83.47252747252747</v>
      </c>
      <c r="G17" s="41">
        <f t="shared" si="1"/>
        <v>83.73015873015875</v>
      </c>
    </row>
    <row r="18" spans="1:7" ht="15.75">
      <c r="A18" s="42" t="s">
        <v>112</v>
      </c>
      <c r="B18" s="43" t="s">
        <v>113</v>
      </c>
      <c r="C18" s="41">
        <v>64063.2</v>
      </c>
      <c r="D18" s="41">
        <f>77868.604-4854.914-170-D19-D20</f>
        <v>65167.70920000001</v>
      </c>
      <c r="E18" s="41">
        <v>67440.901</v>
      </c>
      <c r="F18" s="41">
        <f t="shared" si="0"/>
        <v>105.27245126687397</v>
      </c>
      <c r="G18" s="41">
        <f t="shared" si="1"/>
        <v>103.48821805754065</v>
      </c>
    </row>
    <row r="19" spans="1:7" ht="15.75">
      <c r="A19" s="42" t="s">
        <v>114</v>
      </c>
      <c r="B19" s="43" t="s">
        <v>115</v>
      </c>
      <c r="C19" s="41">
        <v>6723.4208</v>
      </c>
      <c r="D19" s="41">
        <v>6723.4208</v>
      </c>
      <c r="E19" s="41">
        <v>6347.633</v>
      </c>
      <c r="F19" s="41">
        <f t="shared" si="0"/>
        <v>94.41076482971287</v>
      </c>
      <c r="G19" s="41">
        <f t="shared" si="1"/>
        <v>94.41076482971287</v>
      </c>
    </row>
    <row r="20" spans="1:7" ht="15.75">
      <c r="A20" s="42" t="s">
        <v>116</v>
      </c>
      <c r="B20" s="43" t="s">
        <v>117</v>
      </c>
      <c r="C20" s="41">
        <v>952.6</v>
      </c>
      <c r="D20" s="41">
        <v>952.56</v>
      </c>
      <c r="E20" s="41">
        <v>797.359</v>
      </c>
      <c r="F20" s="41">
        <f t="shared" si="0"/>
        <v>83.70344320806214</v>
      </c>
      <c r="G20" s="41">
        <f t="shared" si="1"/>
        <v>83.70695809187873</v>
      </c>
    </row>
    <row r="21" spans="1:7" ht="15.75">
      <c r="A21" s="39" t="s">
        <v>60</v>
      </c>
      <c r="B21" s="36" t="s">
        <v>118</v>
      </c>
      <c r="C21" s="40">
        <v>6700</v>
      </c>
      <c r="D21" s="40">
        <f>5480+198</f>
        <v>5678</v>
      </c>
      <c r="E21" s="40">
        <f>706.915+2889.699</f>
        <v>3596.614</v>
      </c>
      <c r="F21" s="41">
        <f t="shared" si="0"/>
        <v>53.68080597014926</v>
      </c>
      <c r="G21" s="41">
        <f t="shared" si="1"/>
        <v>63.34297287777386</v>
      </c>
    </row>
    <row r="22" spans="1:7" ht="15.75">
      <c r="A22" s="44" t="s">
        <v>106</v>
      </c>
      <c r="B22" s="43" t="s">
        <v>119</v>
      </c>
      <c r="C22" s="45">
        <v>4000</v>
      </c>
      <c r="D22" s="45">
        <v>2978</v>
      </c>
      <c r="E22" s="45">
        <f>SUM(E21-E23)</f>
        <v>2551.942</v>
      </c>
      <c r="F22" s="41">
        <f t="shared" si="0"/>
        <v>63.79855</v>
      </c>
      <c r="G22" s="41">
        <f t="shared" si="1"/>
        <v>85.69314976494292</v>
      </c>
    </row>
    <row r="23" spans="1:7" ht="15.75">
      <c r="A23" s="44" t="s">
        <v>108</v>
      </c>
      <c r="B23" s="43" t="s">
        <v>120</v>
      </c>
      <c r="C23" s="41">
        <v>2700</v>
      </c>
      <c r="D23" s="41">
        <v>2700</v>
      </c>
      <c r="E23" s="41">
        <v>1044.672</v>
      </c>
      <c r="F23" s="41">
        <f t="shared" si="0"/>
        <v>38.69155555555556</v>
      </c>
      <c r="G23" s="41">
        <f t="shared" si="1"/>
        <v>38.69155555555556</v>
      </c>
    </row>
    <row r="24" spans="1:7" ht="15.75">
      <c r="A24" s="39" t="s">
        <v>121</v>
      </c>
      <c r="B24" s="36" t="s">
        <v>122</v>
      </c>
      <c r="C24" s="46">
        <v>0</v>
      </c>
      <c r="D24" s="46">
        <v>0</v>
      </c>
      <c r="E24" s="47">
        <v>0</v>
      </c>
      <c r="F24" s="41"/>
      <c r="G24" s="41"/>
    </row>
    <row r="25" spans="1:7" ht="15.75">
      <c r="A25" s="39"/>
      <c r="B25" s="48" t="s">
        <v>182</v>
      </c>
      <c r="C25" s="49">
        <f>SUM(C26:C28)</f>
        <v>83834.0618</v>
      </c>
      <c r="D25" s="49">
        <f>SUM(D26:D28)</f>
        <v>85147.26900000001</v>
      </c>
      <c r="E25" s="49">
        <f>SUM(E26:E28)</f>
        <v>87431.19099999999</v>
      </c>
      <c r="F25" s="50">
        <f>SUM(E25/C25*100)</f>
        <v>104.29077289441318</v>
      </c>
      <c r="G25" s="50">
        <f>SUM(E25/D25*100)</f>
        <v>102.68231973476445</v>
      </c>
    </row>
    <row r="26" spans="1:7" ht="15.75">
      <c r="A26" s="51"/>
      <c r="B26" s="52" t="s">
        <v>123</v>
      </c>
      <c r="C26" s="53">
        <f aca="true" t="shared" si="2" ref="C26:D28">SUM(C15+C18)</f>
        <v>75022.8</v>
      </c>
      <c r="D26" s="53">
        <f t="shared" si="2"/>
        <v>76336.55020000001</v>
      </c>
      <c r="E26" s="53">
        <f>SUM(E15+E18)</f>
        <v>79114.911</v>
      </c>
      <c r="F26" s="50">
        <f>SUM(E26/C26*100)</f>
        <v>105.45448983509011</v>
      </c>
      <c r="G26" s="50">
        <f>SUM(E26/D26*100)</f>
        <v>103.63962059160485</v>
      </c>
    </row>
    <row r="27" spans="1:7" ht="15.75">
      <c r="A27" s="51"/>
      <c r="B27" s="52" t="s">
        <v>124</v>
      </c>
      <c r="C27" s="53">
        <f t="shared" si="2"/>
        <v>7694.8618</v>
      </c>
      <c r="D27" s="53">
        <f t="shared" si="2"/>
        <v>7694.8628</v>
      </c>
      <c r="E27" s="53">
        <f>SUM(E16+E19)</f>
        <v>7382.192999999999</v>
      </c>
      <c r="F27" s="50">
        <f>SUM(E27/C27*100)</f>
        <v>95.9366547687705</v>
      </c>
      <c r="G27" s="50">
        <f>SUM(E27/D27*100)</f>
        <v>95.93664230114668</v>
      </c>
    </row>
    <row r="28" spans="1:7" ht="15.75">
      <c r="A28" s="51"/>
      <c r="B28" s="52" t="s">
        <v>125</v>
      </c>
      <c r="C28" s="53">
        <f t="shared" si="2"/>
        <v>1116.4</v>
      </c>
      <c r="D28" s="53">
        <f t="shared" si="2"/>
        <v>1115.856</v>
      </c>
      <c r="E28" s="53">
        <f>SUM(E17+E20)</f>
        <v>934.087</v>
      </c>
      <c r="F28" s="50">
        <f>SUM(E28/C28*100)</f>
        <v>83.66956288068792</v>
      </c>
      <c r="G28" s="50">
        <f>SUM(E28/D28*100)</f>
        <v>83.71035330723677</v>
      </c>
    </row>
    <row r="29" spans="1:7" ht="15.75">
      <c r="A29" s="39" t="s">
        <v>126</v>
      </c>
      <c r="B29" s="36" t="s">
        <v>127</v>
      </c>
      <c r="C29" s="54">
        <v>855</v>
      </c>
      <c r="D29" s="54">
        <v>638.204</v>
      </c>
      <c r="E29" s="54">
        <v>530.467</v>
      </c>
      <c r="F29" s="41">
        <f>SUM(E29/C29*100)</f>
        <v>62.042923976608186</v>
      </c>
      <c r="G29" s="41">
        <f>SUM(E29/D29*100)</f>
        <v>83.1187206598517</v>
      </c>
    </row>
    <row r="30" spans="1:7" ht="15.75">
      <c r="A30" s="55" t="s">
        <v>64</v>
      </c>
      <c r="B30" s="43" t="s">
        <v>128</v>
      </c>
      <c r="C30" s="56"/>
      <c r="D30" s="56"/>
      <c r="E30" s="56"/>
      <c r="F30" s="41"/>
      <c r="G30" s="41"/>
    </row>
    <row r="31" spans="1:7" ht="15.75">
      <c r="A31" s="55" t="s">
        <v>69</v>
      </c>
      <c r="B31" s="43" t="s">
        <v>129</v>
      </c>
      <c r="C31" s="56"/>
      <c r="D31" s="56"/>
      <c r="E31" s="56"/>
      <c r="F31" s="41"/>
      <c r="G31" s="41"/>
    </row>
    <row r="32" spans="1:7" ht="16.5" thickBot="1">
      <c r="A32" s="21" t="s">
        <v>71</v>
      </c>
      <c r="B32" s="57" t="s">
        <v>130</v>
      </c>
      <c r="C32" s="58">
        <v>500</v>
      </c>
      <c r="D32" s="58">
        <v>350</v>
      </c>
      <c r="E32" s="58">
        <v>363.164</v>
      </c>
      <c r="F32" s="59">
        <f>SUM(E32/C32*100)</f>
        <v>72.6328</v>
      </c>
      <c r="G32" s="59">
        <f>SUM(E32/D32*100)</f>
        <v>103.76114285714286</v>
      </c>
    </row>
    <row r="33" spans="1:7" ht="16.5" thickBot="1">
      <c r="A33" s="60" t="s">
        <v>131</v>
      </c>
      <c r="B33" s="61" t="s">
        <v>132</v>
      </c>
      <c r="C33" s="62">
        <v>2717.2</v>
      </c>
      <c r="D33" s="62">
        <v>3427.3</v>
      </c>
      <c r="E33" s="62">
        <v>4935.383</v>
      </c>
      <c r="F33" s="63">
        <f>SUM(E33/C33*100)</f>
        <v>181.63488149565728</v>
      </c>
      <c r="G33" s="63">
        <f>SUM(E33/D33*100)</f>
        <v>144.00207160155222</v>
      </c>
    </row>
    <row r="34" spans="1:7" ht="15.75">
      <c r="A34" s="19"/>
      <c r="B34" s="64" t="s">
        <v>133</v>
      </c>
      <c r="C34" s="65"/>
      <c r="D34" s="65"/>
      <c r="E34" s="65">
        <v>59108.294</v>
      </c>
      <c r="F34" s="65"/>
      <c r="G34" s="65"/>
    </row>
    <row r="35" spans="1:7" ht="15.75">
      <c r="A35" s="66" t="s">
        <v>45</v>
      </c>
      <c r="B35" s="67" t="s">
        <v>134</v>
      </c>
      <c r="C35" s="68">
        <v>0</v>
      </c>
      <c r="D35" s="68">
        <v>0</v>
      </c>
      <c r="E35" s="69">
        <v>53986.619</v>
      </c>
      <c r="F35" s="70"/>
      <c r="G35" s="70"/>
    </row>
    <row r="36" spans="1:7" ht="15.75">
      <c r="A36" s="66"/>
      <c r="B36" s="71" t="s">
        <v>135</v>
      </c>
      <c r="C36" s="70"/>
      <c r="D36" s="70"/>
      <c r="E36" s="70">
        <v>5109.663</v>
      </c>
      <c r="F36" s="70"/>
      <c r="G36" s="70"/>
    </row>
    <row r="37" spans="1:7" ht="15.75">
      <c r="A37" s="66"/>
      <c r="B37" s="72" t="s">
        <v>136</v>
      </c>
      <c r="C37" s="70"/>
      <c r="D37" s="70"/>
      <c r="E37" s="69">
        <f>SUM(E38+E39)</f>
        <v>48876.956000000006</v>
      </c>
      <c r="F37" s="70"/>
      <c r="G37" s="70"/>
    </row>
    <row r="38" spans="1:7" ht="15.75">
      <c r="A38" s="66"/>
      <c r="B38" s="71" t="s">
        <v>137</v>
      </c>
      <c r="C38" s="70"/>
      <c r="D38" s="70"/>
      <c r="E38" s="69">
        <v>21020.488</v>
      </c>
      <c r="F38" s="70"/>
      <c r="G38" s="70"/>
    </row>
    <row r="39" spans="1:7" ht="16.5" thickBot="1">
      <c r="A39" s="66"/>
      <c r="B39" s="71" t="s">
        <v>138</v>
      </c>
      <c r="C39" s="70"/>
      <c r="D39" s="70"/>
      <c r="E39" s="69">
        <v>27856.468</v>
      </c>
      <c r="F39" s="70"/>
      <c r="G39" s="70"/>
    </row>
    <row r="40" spans="1:7" ht="16.5" thickBot="1">
      <c r="A40" s="60" t="s">
        <v>51</v>
      </c>
      <c r="B40" s="61" t="s">
        <v>139</v>
      </c>
      <c r="C40" s="62">
        <f>SUM(C41:C49)-C43-C46-C47</f>
        <v>92268.3</v>
      </c>
      <c r="D40" s="62">
        <f>SUM(D41:D49)-D43-D46-D47-D48</f>
        <v>90496.37099999998</v>
      </c>
      <c r="E40" s="62">
        <f>SUM(E41:E45)-E43+E49</f>
        <v>91354.96399999999</v>
      </c>
      <c r="F40" s="63">
        <f>SUM(E40/C40*100)</f>
        <v>99.01013023974646</v>
      </c>
      <c r="G40" s="63">
        <f>SUM(E40/D40*100)</f>
        <v>100.94875959169678</v>
      </c>
    </row>
    <row r="41" spans="1:7" ht="15.75">
      <c r="A41" s="66" t="s">
        <v>53</v>
      </c>
      <c r="B41" s="73" t="s">
        <v>140</v>
      </c>
      <c r="C41" s="37">
        <v>9932</v>
      </c>
      <c r="D41" s="37">
        <v>9550.534</v>
      </c>
      <c r="E41" s="37">
        <v>8663.094</v>
      </c>
      <c r="F41" s="38">
        <f>SUM(E41/C41*100)</f>
        <v>87.22406363270237</v>
      </c>
      <c r="G41" s="38">
        <f>SUM(E41/D41*100)</f>
        <v>90.7079541311512</v>
      </c>
    </row>
    <row r="42" spans="1:7" ht="15.75">
      <c r="A42" s="66" t="s">
        <v>64</v>
      </c>
      <c r="B42" s="36" t="s">
        <v>141</v>
      </c>
      <c r="C42" s="40">
        <v>79233.6</v>
      </c>
      <c r="D42" s="40">
        <v>77693.476</v>
      </c>
      <c r="E42" s="40">
        <v>79625.416</v>
      </c>
      <c r="F42" s="41">
        <f>SUM(E42/C42*100)</f>
        <v>100.49450738070715</v>
      </c>
      <c r="G42" s="41">
        <f>SUM(E42/D42*100)</f>
        <v>102.48661805271783</v>
      </c>
    </row>
    <row r="43" spans="1:7" ht="15.75">
      <c r="A43" s="42"/>
      <c r="B43" s="43" t="s">
        <v>142</v>
      </c>
      <c r="C43" s="40">
        <v>1920</v>
      </c>
      <c r="D43" s="46">
        <v>0</v>
      </c>
      <c r="E43" s="40">
        <v>1937.8532</v>
      </c>
      <c r="F43" s="41"/>
      <c r="G43" s="41"/>
    </row>
    <row r="44" spans="1:7" ht="15.75">
      <c r="A44" s="66" t="s">
        <v>69</v>
      </c>
      <c r="B44" s="36" t="s">
        <v>143</v>
      </c>
      <c r="C44" s="46">
        <v>0</v>
      </c>
      <c r="D44" s="46">
        <v>0</v>
      </c>
      <c r="E44" s="46">
        <v>0</v>
      </c>
      <c r="F44" s="41"/>
      <c r="G44" s="41"/>
    </row>
    <row r="45" spans="1:7" ht="15.75">
      <c r="A45" s="66" t="s">
        <v>71</v>
      </c>
      <c r="B45" s="74" t="s">
        <v>144</v>
      </c>
      <c r="C45" s="40">
        <v>2674.7</v>
      </c>
      <c r="D45" s="40">
        <v>2920.495</v>
      </c>
      <c r="E45" s="40">
        <f>SUM(E46:E47)</f>
        <v>2768.911</v>
      </c>
      <c r="F45" s="41">
        <f>SUM(E45/C45*100)</f>
        <v>103.52230156653084</v>
      </c>
      <c r="G45" s="41">
        <f>SUM(E45/D45*100)</f>
        <v>94.80964699477316</v>
      </c>
    </row>
    <row r="46" spans="1:7" ht="15.75">
      <c r="A46" s="42"/>
      <c r="B46" s="75" t="s">
        <v>145</v>
      </c>
      <c r="C46" s="76">
        <v>2174.8</v>
      </c>
      <c r="D46" s="76">
        <v>2014.598</v>
      </c>
      <c r="E46" s="76">
        <v>2051.201</v>
      </c>
      <c r="F46" s="41">
        <f>SUM(E46/C46*100)</f>
        <v>94.31676475997793</v>
      </c>
      <c r="G46" s="41">
        <f>SUM(E46/D46*100)</f>
        <v>101.81688853061503</v>
      </c>
    </row>
    <row r="47" spans="1:7" ht="15.75">
      <c r="A47" s="42"/>
      <c r="B47" s="75" t="s">
        <v>146</v>
      </c>
      <c r="C47" s="41">
        <v>499.9</v>
      </c>
      <c r="D47" s="41">
        <f>626.1</f>
        <v>626.1</v>
      </c>
      <c r="E47" s="41">
        <v>717.71</v>
      </c>
      <c r="F47" s="41">
        <f>SUM(E47/C47*100)</f>
        <v>143.5707141428286</v>
      </c>
      <c r="G47" s="41">
        <f>SUM(E47/D47*100)</f>
        <v>114.63184794761221</v>
      </c>
    </row>
    <row r="48" spans="1:7" ht="15.75">
      <c r="A48" s="42"/>
      <c r="B48" s="75" t="s">
        <v>147</v>
      </c>
      <c r="C48" s="41">
        <v>0</v>
      </c>
      <c r="D48" s="41">
        <v>273.797</v>
      </c>
      <c r="E48" s="41">
        <v>122.988</v>
      </c>
      <c r="F48" s="77" t="s">
        <v>148</v>
      </c>
      <c r="G48" s="41">
        <f>SUM(E48/D48*100)</f>
        <v>44.91941109654232</v>
      </c>
    </row>
    <row r="49" spans="1:7" ht="16.5" thickBot="1">
      <c r="A49" s="78" t="s">
        <v>149</v>
      </c>
      <c r="B49" s="79" t="s">
        <v>150</v>
      </c>
      <c r="C49" s="80">
        <v>428</v>
      </c>
      <c r="D49" s="80">
        <v>331.866</v>
      </c>
      <c r="E49" s="80">
        <v>297.543</v>
      </c>
      <c r="F49" s="81">
        <f>SUM(E49/C49*100)</f>
        <v>69.51939252336449</v>
      </c>
      <c r="G49" s="41">
        <f>SUM(E49/D49*100)</f>
        <v>89.65757263473813</v>
      </c>
    </row>
    <row r="50" spans="1:7" ht="15.75">
      <c r="A50" s="19"/>
      <c r="B50" s="64" t="s">
        <v>151</v>
      </c>
      <c r="C50" s="82"/>
      <c r="D50" s="82"/>
      <c r="E50" s="65">
        <v>4978.23</v>
      </c>
      <c r="F50" s="38"/>
      <c r="G50" s="65"/>
    </row>
    <row r="51" spans="1:7" ht="15.75">
      <c r="A51" s="21" t="s">
        <v>73</v>
      </c>
      <c r="B51" s="57" t="s">
        <v>152</v>
      </c>
      <c r="C51" s="68">
        <v>0</v>
      </c>
      <c r="D51" s="68">
        <v>0</v>
      </c>
      <c r="E51" s="58">
        <v>2988.237</v>
      </c>
      <c r="F51" s="59"/>
      <c r="G51" s="59"/>
    </row>
    <row r="52" spans="1:7" ht="16.5" thickBot="1">
      <c r="A52" s="42"/>
      <c r="B52" s="20" t="s">
        <v>153</v>
      </c>
      <c r="C52" s="70"/>
      <c r="D52" s="70"/>
      <c r="E52" s="70">
        <v>2598.807</v>
      </c>
      <c r="F52" s="70"/>
      <c r="G52" s="70"/>
    </row>
    <row r="53" spans="1:7" ht="15.75">
      <c r="A53" s="83" t="s">
        <v>76</v>
      </c>
      <c r="B53" s="29" t="s">
        <v>154</v>
      </c>
      <c r="C53" s="30">
        <f>SUM(C11-C33-C40)</f>
        <v>-379.3382000000129</v>
      </c>
      <c r="D53" s="30">
        <f>SUM(D11-D33-D40)</f>
        <v>1317.1020000000135</v>
      </c>
      <c r="E53" s="30">
        <f>SUM(E12-E40)</f>
        <v>566.4720000000088</v>
      </c>
      <c r="F53" s="31">
        <f aca="true" t="shared" si="3" ref="F53:F62">SUM(E53/C53*100)</f>
        <v>-149.33165180833083</v>
      </c>
      <c r="G53" s="31">
        <f>SUM(E53/D53*100)</f>
        <v>43.00896969255252</v>
      </c>
    </row>
    <row r="54" spans="1:7" ht="16.5" thickBot="1">
      <c r="A54" s="84" t="s">
        <v>78</v>
      </c>
      <c r="B54" s="85" t="s">
        <v>155</v>
      </c>
      <c r="C54" s="86">
        <f>SUM(C11-C40)</f>
        <v>2337.861799999984</v>
      </c>
      <c r="D54" s="86">
        <f>SUM(D11-D40)</f>
        <v>4744.402000000016</v>
      </c>
      <c r="E54" s="86">
        <f>SUM(E11-E40)</f>
        <v>5501.8550000000105</v>
      </c>
      <c r="F54" s="35">
        <f t="shared" si="3"/>
        <v>235.3370502909987</v>
      </c>
      <c r="G54" s="35">
        <f>SUM(E54/D54*100)</f>
        <v>115.96519434904529</v>
      </c>
    </row>
    <row r="55" spans="1:7" ht="15.75">
      <c r="A55" s="20"/>
      <c r="B55" s="87" t="s">
        <v>156</v>
      </c>
      <c r="C55" s="38">
        <v>3714.1</v>
      </c>
      <c r="D55" s="38">
        <v>4017.5</v>
      </c>
      <c r="E55" s="38">
        <v>5844.315</v>
      </c>
      <c r="F55" s="38">
        <f t="shared" si="3"/>
        <v>157.3548100481947</v>
      </c>
      <c r="G55" s="38">
        <f>SUM(E55/D55*100)</f>
        <v>145.47143746110766</v>
      </c>
    </row>
    <row r="56" spans="1:7" ht="16.5" thickBot="1">
      <c r="A56" s="20"/>
      <c r="B56" s="88" t="s">
        <v>157</v>
      </c>
      <c r="C56" s="80">
        <v>900</v>
      </c>
      <c r="D56" s="80">
        <f>SUM(D55+D57)</f>
        <v>1492.7800000000002</v>
      </c>
      <c r="E56" s="80">
        <f>E55-4360</f>
        <v>1484.3149999999996</v>
      </c>
      <c r="F56" s="81">
        <f t="shared" si="3"/>
        <v>164.92388888888885</v>
      </c>
      <c r="G56" s="81">
        <f>SUM(E56/D56*100)</f>
        <v>99.43293720441052</v>
      </c>
    </row>
    <row r="57" spans="1:7" ht="15.75">
      <c r="A57" s="20"/>
      <c r="B57" s="87" t="s">
        <v>158</v>
      </c>
      <c r="C57" s="38">
        <v>-4040.9</v>
      </c>
      <c r="D57" s="38">
        <v>-2524.72</v>
      </c>
      <c r="E57" s="38">
        <v>-3966.111</v>
      </c>
      <c r="F57" s="38">
        <f t="shared" si="3"/>
        <v>98.14919943576925</v>
      </c>
      <c r="G57" s="38">
        <f>SUM(E57/D57*100)</f>
        <v>157.0911229760132</v>
      </c>
    </row>
    <row r="58" spans="1:7" ht="15.75">
      <c r="A58" s="20"/>
      <c r="B58" s="89" t="s">
        <v>159</v>
      </c>
      <c r="C58" s="41">
        <v>-1226.8</v>
      </c>
      <c r="D58" s="46">
        <v>0</v>
      </c>
      <c r="E58" s="41">
        <f>4360+E57</f>
        <v>393.8890000000001</v>
      </c>
      <c r="F58" s="41">
        <f t="shared" si="3"/>
        <v>-32.107026410172814</v>
      </c>
      <c r="G58" s="41"/>
    </row>
    <row r="59" spans="1:7" ht="16.5" thickBot="1">
      <c r="A59" s="20"/>
      <c r="B59" s="88" t="s">
        <v>160</v>
      </c>
      <c r="C59" s="80">
        <v>-954.4</v>
      </c>
      <c r="D59" s="90">
        <f>+D58</f>
        <v>0</v>
      </c>
      <c r="E59" s="80">
        <f>E58+900</f>
        <v>1293.8890000000001</v>
      </c>
      <c r="F59" s="81">
        <f>SUM(E59/C59*100)</f>
        <v>-135.57093461860856</v>
      </c>
      <c r="G59" s="81"/>
    </row>
    <row r="60" spans="1:7" ht="15.75">
      <c r="A60" s="20"/>
      <c r="B60" s="87" t="s">
        <v>161</v>
      </c>
      <c r="C60" s="38">
        <v>2272.4</v>
      </c>
      <c r="D60" s="38">
        <v>2965.68</v>
      </c>
      <c r="E60" s="38">
        <v>2556.872</v>
      </c>
      <c r="F60" s="38">
        <f t="shared" si="3"/>
        <v>112.51857067417707</v>
      </c>
      <c r="G60" s="38">
        <f>SUM(E60/D60*100)</f>
        <v>86.2153705052467</v>
      </c>
    </row>
    <row r="61" spans="1:7" ht="15.75">
      <c r="A61" s="20"/>
      <c r="B61" s="89" t="s">
        <v>162</v>
      </c>
      <c r="C61" s="41">
        <v>2000</v>
      </c>
      <c r="D61" s="40">
        <v>2965.68</v>
      </c>
      <c r="E61" s="41">
        <f>E60-900</f>
        <v>1656.8719999999998</v>
      </c>
      <c r="F61" s="41">
        <f t="shared" si="3"/>
        <v>82.8436</v>
      </c>
      <c r="G61" s="41">
        <f>SUM(E61/D61*100)</f>
        <v>55.86819886164387</v>
      </c>
    </row>
    <row r="62" spans="1:7" ht="16.5" thickBot="1">
      <c r="A62" s="20"/>
      <c r="B62" s="88" t="s">
        <v>163</v>
      </c>
      <c r="C62" s="69">
        <f>+C61</f>
        <v>2000</v>
      </c>
      <c r="D62" s="69">
        <f>+D61</f>
        <v>2965.68</v>
      </c>
      <c r="E62" s="69">
        <f>E61+E64</f>
        <v>1808.456</v>
      </c>
      <c r="F62" s="81">
        <f t="shared" si="3"/>
        <v>90.4228</v>
      </c>
      <c r="G62" s="81">
        <f>SUM(E62/D62*100)</f>
        <v>60.97947182433708</v>
      </c>
    </row>
    <row r="63" spans="1:7" ht="16.5" thickBot="1">
      <c r="A63" s="20"/>
      <c r="B63" s="91" t="s">
        <v>164</v>
      </c>
      <c r="C63" s="92">
        <v>392.3</v>
      </c>
      <c r="D63" s="92">
        <v>285.915</v>
      </c>
      <c r="E63" s="92">
        <v>915.195</v>
      </c>
      <c r="F63" s="93">
        <f>SUM(E63/C63*100)</f>
        <v>233.28957430537852</v>
      </c>
      <c r="G63" s="93">
        <f>SUM(E63/D63*100)</f>
        <v>320.09338439746074</v>
      </c>
    </row>
    <row r="64" spans="1:7" ht="15.75">
      <c r="A64" s="20"/>
      <c r="B64" s="94" t="s">
        <v>165</v>
      </c>
      <c r="C64" s="95">
        <v>0</v>
      </c>
      <c r="D64" s="95">
        <v>0</v>
      </c>
      <c r="E64" s="96">
        <v>151.584</v>
      </c>
      <c r="F64" s="65"/>
      <c r="G64" s="65"/>
    </row>
    <row r="65" spans="1:7" ht="16.5" thickBot="1">
      <c r="A65" s="25"/>
      <c r="B65" s="88" t="s">
        <v>166</v>
      </c>
      <c r="C65" s="97">
        <v>0</v>
      </c>
      <c r="D65" s="97">
        <v>0</v>
      </c>
      <c r="E65" s="97">
        <v>0</v>
      </c>
      <c r="F65" s="38"/>
      <c r="G65" s="38"/>
    </row>
    <row r="66" spans="1:7" ht="15.75">
      <c r="A66" s="2"/>
      <c r="B66" s="98" t="s">
        <v>167</v>
      </c>
      <c r="C66" s="99"/>
      <c r="D66" s="99"/>
      <c r="E66" s="332" t="s">
        <v>168</v>
      </c>
      <c r="F66" s="332"/>
      <c r="G66" s="332"/>
    </row>
    <row r="67" spans="2:7" ht="15.75">
      <c r="B67" s="100" t="s">
        <v>169</v>
      </c>
      <c r="C67" s="101" t="s">
        <v>170</v>
      </c>
      <c r="D67" s="101" t="s">
        <v>171</v>
      </c>
      <c r="E67" s="101" t="s">
        <v>172</v>
      </c>
      <c r="F67" s="102"/>
      <c r="G67" s="103">
        <f>2168.08+3180+3467+4360</f>
        <v>13175.08</v>
      </c>
    </row>
    <row r="68" spans="2:7" ht="15.75">
      <c r="B68" s="100" t="s">
        <v>173</v>
      </c>
      <c r="C68" s="104" t="s">
        <v>174</v>
      </c>
      <c r="D68" s="105"/>
      <c r="E68" s="104" t="s">
        <v>175</v>
      </c>
      <c r="F68" s="105"/>
      <c r="G68" s="106">
        <f>1029.5+471+900</f>
        <v>2400.5</v>
      </c>
    </row>
    <row r="69" spans="3:7" ht="15.75">
      <c r="C69" s="101" t="s">
        <v>176</v>
      </c>
      <c r="D69" s="107"/>
      <c r="E69" s="108" t="s">
        <v>177</v>
      </c>
      <c r="F69" s="107"/>
      <c r="G69" s="109">
        <f>SUM(G67+G68)</f>
        <v>15575.58</v>
      </c>
    </row>
    <row r="70" spans="3:7" ht="15.75">
      <c r="C70" s="102"/>
      <c r="D70" s="107"/>
      <c r="E70" s="107"/>
      <c r="F70" s="107"/>
      <c r="G70" s="109"/>
    </row>
    <row r="71" spans="1:7" ht="15.75">
      <c r="A71" s="102" t="s">
        <v>178</v>
      </c>
      <c r="B71" s="102"/>
      <c r="C71" s="102"/>
      <c r="D71" s="107"/>
      <c r="E71" s="107"/>
      <c r="F71" s="107"/>
      <c r="G71" s="109"/>
    </row>
    <row r="72" spans="1:2" ht="15.75">
      <c r="A72" s="102" t="s">
        <v>179</v>
      </c>
      <c r="B72" s="110"/>
    </row>
    <row r="73" spans="1:2" ht="15.75">
      <c r="A73" s="102" t="s">
        <v>180</v>
      </c>
      <c r="B73" s="110"/>
    </row>
    <row r="74" spans="1:2" ht="15.75">
      <c r="A74" s="102" t="s">
        <v>181</v>
      </c>
      <c r="B74" s="110"/>
    </row>
    <row r="75" spans="1:2" ht="15.75">
      <c r="A75" s="102" t="s">
        <v>183</v>
      </c>
      <c r="B75" s="110"/>
    </row>
    <row r="76" spans="1:2" ht="15.75">
      <c r="A76" s="102"/>
      <c r="B76" s="110" t="s">
        <v>184</v>
      </c>
    </row>
    <row r="77" spans="2:18" ht="15.75">
      <c r="B77" s="111" t="s">
        <v>185</v>
      </c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</row>
  </sheetData>
  <mergeCells count="1">
    <mergeCell ref="E66:G66"/>
  </mergeCells>
  <printOptions/>
  <pageMargins left="0.75" right="0.75" top="1" bottom="1" header="0.4921259845" footer="0.4921259845"/>
  <pageSetup horizontalDpi="300" verticalDpi="300" orientation="portrait" paperSize="9" scale="58" r:id="rId1"/>
  <headerFooter alignWithMargins="0">
    <oddFooter>&amp;C&amp;"Times New Roman,obyčejné"35</oddFooter>
  </headerFooter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52.140625" style="1" customWidth="1"/>
    <col min="2" max="4" width="10.140625" style="1" hidden="1" customWidth="1"/>
    <col min="5" max="5" width="0.13671875" style="1" hidden="1" customWidth="1"/>
    <col min="6" max="6" width="15.57421875" style="1" hidden="1" customWidth="1"/>
    <col min="7" max="7" width="22.7109375" style="1" customWidth="1"/>
    <col min="8" max="8" width="12.8515625" style="1" bestFit="1" customWidth="1"/>
    <col min="9" max="9" width="13.28125" style="1" customWidth="1"/>
    <col min="10" max="10" width="13.140625" style="1" bestFit="1" customWidth="1"/>
    <col min="11" max="16384" width="9.140625" style="1" customWidth="1"/>
  </cols>
  <sheetData>
    <row r="1" spans="1:7" ht="15.75">
      <c r="A1" s="115" t="s">
        <v>258</v>
      </c>
      <c r="B1" s="113"/>
      <c r="C1" s="113"/>
      <c r="D1" s="113"/>
      <c r="E1" s="114"/>
      <c r="F1" s="114"/>
      <c r="G1" s="114"/>
    </row>
    <row r="2" spans="1:8" ht="15.75">
      <c r="A2" s="115" t="s">
        <v>186</v>
      </c>
      <c r="H2" s="114"/>
    </row>
    <row r="3" spans="1:6" ht="15.75">
      <c r="A3" s="113"/>
      <c r="B3" s="113"/>
      <c r="C3" s="113"/>
      <c r="D3" s="113"/>
      <c r="E3" s="113"/>
      <c r="F3" s="113"/>
    </row>
    <row r="4" spans="1:10" ht="15.75">
      <c r="A4" s="113" t="s">
        <v>187</v>
      </c>
      <c r="B4" s="113"/>
      <c r="C4" s="113"/>
      <c r="D4" s="113"/>
      <c r="H4" s="4"/>
      <c r="J4" s="114" t="s">
        <v>86</v>
      </c>
    </row>
    <row r="5" spans="1:8" ht="16.5" thickBot="1">
      <c r="A5" s="113"/>
      <c r="B5" s="116" t="s">
        <v>188</v>
      </c>
      <c r="C5" s="116" t="s">
        <v>189</v>
      </c>
      <c r="D5" s="116"/>
      <c r="E5" s="116" t="s">
        <v>188</v>
      </c>
      <c r="F5" s="113"/>
      <c r="G5" s="113"/>
      <c r="H5" s="116" t="s">
        <v>188</v>
      </c>
    </row>
    <row r="6" spans="1:10" ht="16.5" thickTop="1">
      <c r="A6" s="225"/>
      <c r="B6" s="117" t="s">
        <v>4</v>
      </c>
      <c r="C6" s="117" t="s">
        <v>4</v>
      </c>
      <c r="D6" s="118" t="s">
        <v>190</v>
      </c>
      <c r="E6" s="117" t="s">
        <v>4</v>
      </c>
      <c r="F6" s="118" t="s">
        <v>190</v>
      </c>
      <c r="G6" s="239" t="s">
        <v>191</v>
      </c>
      <c r="H6" s="216" t="s">
        <v>4</v>
      </c>
      <c r="I6" s="217" t="s">
        <v>6</v>
      </c>
      <c r="J6" s="218" t="s">
        <v>190</v>
      </c>
    </row>
    <row r="7" spans="1:10" ht="15.75">
      <c r="A7" s="226"/>
      <c r="B7" s="119" t="s">
        <v>10</v>
      </c>
      <c r="C7" s="119" t="s">
        <v>10</v>
      </c>
      <c r="D7" s="120" t="s">
        <v>192</v>
      </c>
      <c r="E7" s="119" t="s">
        <v>10</v>
      </c>
      <c r="F7" s="120" t="s">
        <v>192</v>
      </c>
      <c r="G7" s="240" t="s">
        <v>193</v>
      </c>
      <c r="H7" s="219" t="s">
        <v>194</v>
      </c>
      <c r="I7" s="220" t="s">
        <v>12</v>
      </c>
      <c r="J7" s="221" t="s">
        <v>192</v>
      </c>
    </row>
    <row r="8" spans="1:10" ht="15.75">
      <c r="A8" s="226"/>
      <c r="B8" s="121"/>
      <c r="C8" s="121"/>
      <c r="D8" s="122"/>
      <c r="E8" s="121"/>
      <c r="F8" s="122"/>
      <c r="G8" s="241">
        <v>2002</v>
      </c>
      <c r="H8" s="219">
        <v>2002</v>
      </c>
      <c r="I8" s="220" t="s">
        <v>195</v>
      </c>
      <c r="J8" s="221" t="s">
        <v>199</v>
      </c>
    </row>
    <row r="9" spans="1:10" ht="16.5" thickBot="1">
      <c r="A9" s="227"/>
      <c r="B9" s="123">
        <v>1999</v>
      </c>
      <c r="C9" s="123">
        <v>2000</v>
      </c>
      <c r="D9" s="124" t="s">
        <v>196</v>
      </c>
      <c r="E9" s="125">
        <v>2001</v>
      </c>
      <c r="F9" s="124" t="s">
        <v>197</v>
      </c>
      <c r="G9" s="242" t="s">
        <v>198</v>
      </c>
      <c r="H9" s="222"/>
      <c r="I9" s="223"/>
      <c r="J9" s="224"/>
    </row>
    <row r="10" spans="1:10" ht="16.5" thickBot="1">
      <c r="A10" s="126"/>
      <c r="B10" s="127">
        <v>1</v>
      </c>
      <c r="C10" s="127">
        <v>2</v>
      </c>
      <c r="D10" s="127" t="s">
        <v>200</v>
      </c>
      <c r="E10" s="127" t="s">
        <v>98</v>
      </c>
      <c r="F10" s="127" t="s">
        <v>201</v>
      </c>
      <c r="G10" s="243" t="s">
        <v>202</v>
      </c>
      <c r="H10" s="128" t="s">
        <v>203</v>
      </c>
      <c r="I10" s="127" t="s">
        <v>204</v>
      </c>
      <c r="J10" s="129" t="s">
        <v>205</v>
      </c>
    </row>
    <row r="11" spans="1:10" ht="17.25" thickBot="1" thickTop="1">
      <c r="A11" s="130"/>
      <c r="B11" s="131"/>
      <c r="C11" s="131"/>
      <c r="D11" s="132"/>
      <c r="E11" s="131"/>
      <c r="F11" s="132"/>
      <c r="G11" s="244" t="s">
        <v>206</v>
      </c>
      <c r="H11" s="133"/>
      <c r="I11" s="131"/>
      <c r="J11" s="132"/>
    </row>
    <row r="12" spans="1:10" ht="16.5" thickBot="1">
      <c r="A12" s="134" t="s">
        <v>207</v>
      </c>
      <c r="B12" s="135">
        <v>45703.8</v>
      </c>
      <c r="C12" s="135">
        <v>47742</v>
      </c>
      <c r="D12" s="136">
        <f>SUM(C12/B12*100)</f>
        <v>104.45958541740512</v>
      </c>
      <c r="E12" s="135">
        <f>SUM(E17+E19)</f>
        <v>52318.4</v>
      </c>
      <c r="F12" s="136">
        <f>SUM(E12/C12*100)</f>
        <v>109.58568974906791</v>
      </c>
      <c r="G12" s="230">
        <f>SUM(G17+G19)</f>
        <v>59074.1</v>
      </c>
      <c r="H12" s="137">
        <f>SUM(H17+H19)</f>
        <v>60195</v>
      </c>
      <c r="I12" s="135">
        <f>SUM(H12/G12*100)</f>
        <v>101.89744744312652</v>
      </c>
      <c r="J12" s="136">
        <f>SUM(H12/E12*100)</f>
        <v>115.05512400990855</v>
      </c>
    </row>
    <row r="13" spans="1:10" ht="15.75">
      <c r="A13" s="138" t="s">
        <v>208</v>
      </c>
      <c r="B13" s="139">
        <v>42795.9</v>
      </c>
      <c r="C13" s="139">
        <v>46265.7</v>
      </c>
      <c r="D13" s="140">
        <f>SUM(C13/B13*100)</f>
        <v>108.10778602623148</v>
      </c>
      <c r="E13" s="139">
        <f>SUM(E20+E17)</f>
        <v>50547.8</v>
      </c>
      <c r="F13" s="140">
        <f>SUM(E13/C13*100)</f>
        <v>109.25545274360921</v>
      </c>
      <c r="G13" s="233">
        <f>G20+G17</f>
        <v>62945.1</v>
      </c>
      <c r="H13" s="141">
        <v>57839.8</v>
      </c>
      <c r="I13" s="142">
        <f>SUM(H13/G13*100)</f>
        <v>91.88928129433428</v>
      </c>
      <c r="J13" s="140">
        <f>SUM(H13/E13*100)</f>
        <v>114.42594929947496</v>
      </c>
    </row>
    <row r="14" spans="1:10" ht="16.5" thickBot="1">
      <c r="A14" s="143" t="s">
        <v>209</v>
      </c>
      <c r="B14" s="144">
        <v>42795.9</v>
      </c>
      <c r="C14" s="144">
        <v>47342</v>
      </c>
      <c r="D14" s="140">
        <f>SUM(C14/B14*100)</f>
        <v>110.62274657151735</v>
      </c>
      <c r="E14" s="144">
        <f>SUM(E21+E17)</f>
        <v>51918.4</v>
      </c>
      <c r="F14" s="140">
        <f>SUM(E14/C14*100)</f>
        <v>109.66668074859534</v>
      </c>
      <c r="G14" s="232">
        <f>G21+G17</f>
        <v>58888.1</v>
      </c>
      <c r="H14" s="145">
        <v>60195</v>
      </c>
      <c r="I14" s="142">
        <f>SUM(H14/G14*100)</f>
        <v>102.21929388110671</v>
      </c>
      <c r="J14" s="140">
        <f>SUM(H14/E14*100)</f>
        <v>115.94155443927394</v>
      </c>
    </row>
    <row r="15" spans="1:10" ht="16.5" thickBot="1">
      <c r="A15" s="146" t="s">
        <v>210</v>
      </c>
      <c r="B15" s="147">
        <v>2907.9</v>
      </c>
      <c r="C15" s="147">
        <v>400</v>
      </c>
      <c r="D15" s="140">
        <f>SUM(C15/B15*100)</f>
        <v>13.75563121152722</v>
      </c>
      <c r="E15" s="147">
        <f>SUM(E22)</f>
        <v>400</v>
      </c>
      <c r="F15" s="140">
        <f>SUM(E15/C15*100)</f>
        <v>100</v>
      </c>
      <c r="G15" s="229">
        <f>SUM(G22)</f>
        <v>186</v>
      </c>
      <c r="H15" s="148">
        <f>SUM(H22)</f>
        <v>0</v>
      </c>
      <c r="I15" s="142">
        <f>SUM(H15/G15*100)</f>
        <v>0</v>
      </c>
      <c r="J15" s="140">
        <f>SUM(H15/E15*100)</f>
        <v>0</v>
      </c>
    </row>
    <row r="16" spans="1:10" ht="16.5" thickBot="1">
      <c r="A16" s="149"/>
      <c r="B16" s="142"/>
      <c r="C16" s="142"/>
      <c r="D16" s="150"/>
      <c r="E16" s="151"/>
      <c r="F16" s="150"/>
      <c r="G16" s="245"/>
      <c r="H16" s="152"/>
      <c r="I16" s="153"/>
      <c r="J16" s="150"/>
    </row>
    <row r="17" spans="1:10" ht="16.5" thickBot="1">
      <c r="A17" s="134" t="s">
        <v>211</v>
      </c>
      <c r="B17" s="154">
        <v>1811.3</v>
      </c>
      <c r="C17" s="154">
        <v>2057.9</v>
      </c>
      <c r="D17" s="136">
        <f>SUM(C17/B17*100)</f>
        <v>113.61453099983439</v>
      </c>
      <c r="E17" s="155">
        <f>C71</f>
        <v>1901.9</v>
      </c>
      <c r="F17" s="136">
        <f>SUM(E17/C17*100)</f>
        <v>92.41945672773215</v>
      </c>
      <c r="G17" s="230">
        <v>1776</v>
      </c>
      <c r="H17" s="137">
        <v>2676.3</v>
      </c>
      <c r="I17" s="135">
        <f>SUM(H17/G17*100)</f>
        <v>150.69256756756758</v>
      </c>
      <c r="J17" s="136">
        <f>SUM(H17/E17*100)</f>
        <v>140.71717755928285</v>
      </c>
    </row>
    <row r="18" spans="1:10" ht="16.5" thickBot="1">
      <c r="A18" s="149"/>
      <c r="B18" s="142"/>
      <c r="C18" s="142"/>
      <c r="D18" s="140"/>
      <c r="E18" s="156"/>
      <c r="F18" s="140"/>
      <c r="G18" s="236"/>
      <c r="H18" s="157"/>
      <c r="I18" s="142"/>
      <c r="J18" s="140"/>
    </row>
    <row r="19" spans="1:10" ht="16.5" thickBot="1">
      <c r="A19" s="134" t="s">
        <v>212</v>
      </c>
      <c r="B19" s="154">
        <v>43892.5</v>
      </c>
      <c r="C19" s="154">
        <v>45684.1</v>
      </c>
      <c r="D19" s="136">
        <f>SUM(C19/B19*100)</f>
        <v>104.08179073873669</v>
      </c>
      <c r="E19" s="156">
        <v>50416.5</v>
      </c>
      <c r="F19" s="136">
        <f>SUM(E19/C19*100)</f>
        <v>110.35896515417838</v>
      </c>
      <c r="G19" s="231">
        <v>57298.1</v>
      </c>
      <c r="H19" s="157">
        <v>57518.7</v>
      </c>
      <c r="I19" s="135">
        <f>SUM(H19/G19*100)</f>
        <v>100.38500404027357</v>
      </c>
      <c r="J19" s="136">
        <f>SUM(H19/E19*100)</f>
        <v>114.08705483323911</v>
      </c>
    </row>
    <row r="20" spans="1:10" ht="15.75">
      <c r="A20" s="138" t="s">
        <v>208</v>
      </c>
      <c r="B20" s="139">
        <v>40984.6</v>
      </c>
      <c r="C20" s="139">
        <v>44207.8</v>
      </c>
      <c r="D20" s="140">
        <f>SUM(C20/B20*100)</f>
        <v>107.86441736652304</v>
      </c>
      <c r="E20" s="158">
        <f>SUM(E19-E22-E34)</f>
        <v>48645.9</v>
      </c>
      <c r="F20" s="140">
        <f>SUM(E20/C20*100)</f>
        <v>110.03917860649027</v>
      </c>
      <c r="G20" s="233">
        <f>G19+G22+G34</f>
        <v>61169.1</v>
      </c>
      <c r="H20" s="141">
        <v>55163.5</v>
      </c>
      <c r="I20" s="142">
        <f>SUM(H20/G20*100)</f>
        <v>90.18197096246308</v>
      </c>
      <c r="J20" s="140">
        <f>SUM(H20/E20*100)</f>
        <v>113.39804587848101</v>
      </c>
    </row>
    <row r="21" spans="1:10" ht="15.75">
      <c r="A21" s="159" t="s">
        <v>209</v>
      </c>
      <c r="B21" s="160">
        <v>40984.6</v>
      </c>
      <c r="C21" s="160">
        <v>45284.1</v>
      </c>
      <c r="D21" s="161">
        <f>SUM(C21/B21*100)</f>
        <v>110.49052570965681</v>
      </c>
      <c r="E21" s="160">
        <f>SUM(E30+E31+E32+E33+E34+E38)</f>
        <v>50016.5</v>
      </c>
      <c r="F21" s="161">
        <f>SUM(E21/C21*100)</f>
        <v>110.45046716176319</v>
      </c>
      <c r="G21" s="162">
        <f>SUM(G25+G26+G27+G29+G30+G33+G34+G38)</f>
        <v>57112.1</v>
      </c>
      <c r="H21" s="163">
        <f>SUM(H30+H31+H32+H33+H34+H38)</f>
        <v>57518.69999999999</v>
      </c>
      <c r="I21" s="164">
        <f>SUM(H21/G21*100)</f>
        <v>100.71193319804384</v>
      </c>
      <c r="J21" s="161">
        <f>SUM(H21/E21*100)</f>
        <v>114.99945018144011</v>
      </c>
    </row>
    <row r="22" spans="1:10" ht="16.5" thickBot="1">
      <c r="A22" s="146" t="s">
        <v>213</v>
      </c>
      <c r="B22" s="165">
        <v>2907.9</v>
      </c>
      <c r="C22" s="165">
        <v>400</v>
      </c>
      <c r="D22" s="140">
        <f>SUM(C22/B22*100)</f>
        <v>13.75563121152722</v>
      </c>
      <c r="E22" s="165">
        <f>SUM(E41:E44)</f>
        <v>400</v>
      </c>
      <c r="F22" s="140">
        <f>SUM(E22/C22*100)</f>
        <v>100</v>
      </c>
      <c r="G22" s="232">
        <f>SUM(G41:G44)</f>
        <v>186</v>
      </c>
      <c r="H22" s="166">
        <f>SUM(H41:H44)</f>
        <v>0</v>
      </c>
      <c r="I22" s="142">
        <f>SUM(H22/G22*100)</f>
        <v>0</v>
      </c>
      <c r="J22" s="140">
        <f>SUM(H22/E22*100)</f>
        <v>0</v>
      </c>
    </row>
    <row r="23" spans="1:10" ht="15.75">
      <c r="A23" s="167"/>
      <c r="B23" s="168"/>
      <c r="C23" s="168"/>
      <c r="D23" s="169"/>
      <c r="E23" s="168"/>
      <c r="F23" s="169"/>
      <c r="G23" s="233"/>
      <c r="H23" s="170"/>
      <c r="I23" s="168"/>
      <c r="J23" s="169"/>
    </row>
    <row r="24" spans="1:10" ht="16.5" thickBot="1">
      <c r="A24" s="146" t="s">
        <v>214</v>
      </c>
      <c r="B24" s="165"/>
      <c r="C24" s="165"/>
      <c r="D24" s="171"/>
      <c r="E24" s="165"/>
      <c r="F24" s="171"/>
      <c r="G24" s="232"/>
      <c r="H24" s="166"/>
      <c r="I24" s="165"/>
      <c r="J24" s="171"/>
    </row>
    <row r="25" spans="1:10" ht="15.75">
      <c r="A25" s="172" t="s">
        <v>276</v>
      </c>
      <c r="B25" s="173">
        <v>29321.1</v>
      </c>
      <c r="C25" s="173">
        <v>31756.3</v>
      </c>
      <c r="D25" s="174">
        <f>SUM(C25/B25*100)</f>
        <v>108.30528186186739</v>
      </c>
      <c r="E25" s="175">
        <f>34405.7-75</f>
        <v>34330.7</v>
      </c>
      <c r="F25" s="174">
        <f>SUM(E25/C25*100)</f>
        <v>108.10673787563412</v>
      </c>
      <c r="G25" s="234">
        <v>35734.6</v>
      </c>
      <c r="H25" s="176">
        <f>18048.6+3278.4+3070.5+3145.5+3494.7+3351+4325.4-325-124-124-225</f>
        <v>37916.1</v>
      </c>
      <c r="I25" s="177">
        <f>SUM(H25/G25*100)</f>
        <v>106.10472763092353</v>
      </c>
      <c r="J25" s="178">
        <f>SUM(H25/E25*100)</f>
        <v>110.4437136440562</v>
      </c>
    </row>
    <row r="26" spans="1:10" ht="15.75">
      <c r="A26" s="179" t="s">
        <v>215</v>
      </c>
      <c r="B26" s="177">
        <v>11056.6</v>
      </c>
      <c r="C26" s="177">
        <v>11184.2</v>
      </c>
      <c r="D26" s="178">
        <f>SUM(C26/B26*100)</f>
        <v>101.15406182732485</v>
      </c>
      <c r="E26" s="180">
        <f>13039.7+154.6</f>
        <v>13194.300000000001</v>
      </c>
      <c r="F26" s="178">
        <f>SUM(E26/C26*100)</f>
        <v>117.97267573898893</v>
      </c>
      <c r="G26" s="235">
        <v>15261.5</v>
      </c>
      <c r="H26" s="181">
        <f>15261.5+202</f>
        <v>15463.5</v>
      </c>
      <c r="I26" s="177">
        <f>SUM(H26/G26*100)</f>
        <v>101.32359204534285</v>
      </c>
      <c r="J26" s="178">
        <f>SUM(H26/E26*100)</f>
        <v>117.19833564493757</v>
      </c>
    </row>
    <row r="27" spans="1:10" ht="15.75">
      <c r="A27" s="179" t="s">
        <v>216</v>
      </c>
      <c r="B27" s="177">
        <v>581.3</v>
      </c>
      <c r="C27" s="177">
        <v>526</v>
      </c>
      <c r="D27" s="178">
        <f>SUM(C27/B27*100)</f>
        <v>90.48683984173405</v>
      </c>
      <c r="E27" s="180">
        <v>400.6</v>
      </c>
      <c r="F27" s="178">
        <f>SUM(E27/C27*100)</f>
        <v>76.1596958174905</v>
      </c>
      <c r="G27" s="235">
        <v>625</v>
      </c>
      <c r="H27" s="181">
        <v>523.1</v>
      </c>
      <c r="I27" s="177">
        <f>SUM(H27/G27*100)</f>
        <v>83.696</v>
      </c>
      <c r="J27" s="178">
        <f>SUM(H27/E27*100)</f>
        <v>130.57913130304544</v>
      </c>
    </row>
    <row r="28" spans="1:10" ht="15.75">
      <c r="A28" s="179" t="s">
        <v>217</v>
      </c>
      <c r="B28" s="177"/>
      <c r="C28" s="177"/>
      <c r="D28" s="178"/>
      <c r="E28" s="180"/>
      <c r="F28" s="178"/>
      <c r="G28" s="235"/>
      <c r="H28" s="181">
        <v>1.8</v>
      </c>
      <c r="I28" s="177"/>
      <c r="J28" s="178"/>
    </row>
    <row r="29" spans="1:10" ht="15.75">
      <c r="A29" s="179" t="s">
        <v>218</v>
      </c>
      <c r="B29" s="177"/>
      <c r="C29" s="177"/>
      <c r="D29" s="178"/>
      <c r="E29" s="180"/>
      <c r="F29" s="178"/>
      <c r="G29" s="235"/>
      <c r="H29" s="181">
        <v>32.6</v>
      </c>
      <c r="I29" s="177"/>
      <c r="J29" s="178"/>
    </row>
    <row r="30" spans="1:10" ht="15.75">
      <c r="A30" s="179" t="s">
        <v>219</v>
      </c>
      <c r="B30" s="177"/>
      <c r="C30" s="177"/>
      <c r="D30" s="178"/>
      <c r="E30" s="180">
        <v>75</v>
      </c>
      <c r="F30" s="178"/>
      <c r="G30" s="235">
        <v>1000</v>
      </c>
      <c r="H30" s="181">
        <f>325+124+124+225</f>
        <v>798</v>
      </c>
      <c r="I30" s="177">
        <f>SUM(H30/G30*100)</f>
        <v>79.80000000000001</v>
      </c>
      <c r="J30" s="178">
        <f aca="true" t="shared" si="0" ref="J30:J38">SUM(H30/E30*100)</f>
        <v>1064</v>
      </c>
    </row>
    <row r="31" spans="1:10" ht="15.75">
      <c r="A31" s="182" t="s">
        <v>277</v>
      </c>
      <c r="B31" s="142">
        <v>28973.8</v>
      </c>
      <c r="C31" s="142">
        <v>31756.4</v>
      </c>
      <c r="D31" s="140">
        <f>SUM(C31/B31*100)</f>
        <v>109.60384899460894</v>
      </c>
      <c r="E31" s="131">
        <f>34628.7-75</f>
        <v>34553.7</v>
      </c>
      <c r="F31" s="183"/>
      <c r="G31" s="228"/>
      <c r="H31" s="133">
        <f>38714.2-325-124-124-225</f>
        <v>37916.2</v>
      </c>
      <c r="I31" s="131"/>
      <c r="J31" s="140">
        <f t="shared" si="0"/>
        <v>109.7312299406431</v>
      </c>
    </row>
    <row r="32" spans="1:10" ht="15.75">
      <c r="A32" s="182" t="s">
        <v>220</v>
      </c>
      <c r="B32" s="142">
        <v>11636.3</v>
      </c>
      <c r="C32" s="142">
        <v>11723</v>
      </c>
      <c r="D32" s="140">
        <f>SUM(C32/B32*100)</f>
        <v>100.74508219966829</v>
      </c>
      <c r="E32" s="131">
        <v>13641.5</v>
      </c>
      <c r="F32" s="183"/>
      <c r="G32" s="228"/>
      <c r="H32" s="133">
        <v>16039.6</v>
      </c>
      <c r="I32" s="131"/>
      <c r="J32" s="140">
        <f t="shared" si="0"/>
        <v>117.57944507568816</v>
      </c>
    </row>
    <row r="33" spans="1:10" ht="15.75">
      <c r="A33" s="182" t="s">
        <v>221</v>
      </c>
      <c r="B33" s="142">
        <v>4.4</v>
      </c>
      <c r="C33" s="142">
        <v>5.5</v>
      </c>
      <c r="D33" s="140">
        <f>SUM(C33/B33*100)</f>
        <v>125</v>
      </c>
      <c r="E33" s="131">
        <v>6.9</v>
      </c>
      <c r="F33" s="140">
        <f>SUM(E33/C33*100)</f>
        <v>125.45454545454547</v>
      </c>
      <c r="G33" s="228">
        <v>6</v>
      </c>
      <c r="H33" s="133">
        <v>4.2</v>
      </c>
      <c r="I33" s="142">
        <f>SUM(H33/G33*100)</f>
        <v>70</v>
      </c>
      <c r="J33" s="140">
        <f t="shared" si="0"/>
        <v>60.86956521739131</v>
      </c>
    </row>
    <row r="34" spans="1:10" ht="15.75">
      <c r="A34" s="182" t="s">
        <v>222</v>
      </c>
      <c r="B34" s="142">
        <v>0</v>
      </c>
      <c r="C34" s="142">
        <v>1076.3</v>
      </c>
      <c r="D34" s="140"/>
      <c r="E34" s="142">
        <f>SUM(E35:E37)</f>
        <v>1370.6000000000001</v>
      </c>
      <c r="F34" s="140">
        <f>SUM(E34/C34*100)</f>
        <v>127.34367741336061</v>
      </c>
      <c r="G34" s="236">
        <f>SUM(G35:G36)</f>
        <v>3685</v>
      </c>
      <c r="H34" s="184">
        <f>SUM(H35:H37)</f>
        <v>2355.2</v>
      </c>
      <c r="I34" s="142">
        <f>SUM(H34/G34*100)</f>
        <v>63.91316146540027</v>
      </c>
      <c r="J34" s="140">
        <f t="shared" si="0"/>
        <v>171.83715161243248</v>
      </c>
    </row>
    <row r="35" spans="1:10" ht="15.75">
      <c r="A35" s="185" t="s">
        <v>223</v>
      </c>
      <c r="B35" s="131">
        <v>0</v>
      </c>
      <c r="C35" s="131">
        <v>650</v>
      </c>
      <c r="D35" s="140"/>
      <c r="E35" s="131">
        <v>174.9</v>
      </c>
      <c r="F35" s="140">
        <f>SUM(E35/C35*100)</f>
        <v>26.90769230769231</v>
      </c>
      <c r="G35" s="228">
        <v>3685</v>
      </c>
      <c r="H35" s="133">
        <v>1979</v>
      </c>
      <c r="I35" s="142">
        <f>SUM(H35/G35*100)</f>
        <v>53.70420624151967</v>
      </c>
      <c r="J35" s="140">
        <f t="shared" si="0"/>
        <v>1131.503716409377</v>
      </c>
    </row>
    <row r="36" spans="1:10" ht="15.75">
      <c r="A36" s="182" t="s">
        <v>224</v>
      </c>
      <c r="B36" s="142">
        <v>0</v>
      </c>
      <c r="C36" s="142">
        <v>426.3</v>
      </c>
      <c r="D36" s="140"/>
      <c r="E36" s="142">
        <v>945.7</v>
      </c>
      <c r="F36" s="183"/>
      <c r="G36" s="236"/>
      <c r="H36" s="184">
        <v>376.2</v>
      </c>
      <c r="I36" s="131"/>
      <c r="J36" s="140">
        <f t="shared" si="0"/>
        <v>39.78005710056043</v>
      </c>
    </row>
    <row r="37" spans="1:10" ht="15.75">
      <c r="A37" s="182" t="s">
        <v>225</v>
      </c>
      <c r="B37" s="142"/>
      <c r="C37" s="142"/>
      <c r="D37" s="183"/>
      <c r="E37" s="180">
        <v>250</v>
      </c>
      <c r="F37" s="183"/>
      <c r="G37" s="235"/>
      <c r="H37" s="133">
        <v>0</v>
      </c>
      <c r="I37" s="131"/>
      <c r="J37" s="140">
        <f t="shared" si="0"/>
        <v>0</v>
      </c>
    </row>
    <row r="38" spans="1:10" ht="16.5" thickBot="1">
      <c r="A38" s="186" t="s">
        <v>226</v>
      </c>
      <c r="B38" s="147">
        <f>SUM(B19-B22-B30-B31-B32-B33-B34)</f>
        <v>370.1</v>
      </c>
      <c r="C38" s="165">
        <v>722.9</v>
      </c>
      <c r="D38" s="140">
        <f>SUM(C38/B38*100)</f>
        <v>195.32558767900565</v>
      </c>
      <c r="E38" s="147">
        <f>SUM(E19-E22-E30-E31-E32-E33-E34)</f>
        <v>368.8000000000027</v>
      </c>
      <c r="F38" s="140">
        <f>SUM(E38/C38*100)</f>
        <v>51.01673813805543</v>
      </c>
      <c r="G38" s="229">
        <v>800</v>
      </c>
      <c r="H38" s="148">
        <f>SUM(H19-H22-H30-H31-H32-H33-H34)</f>
        <v>405.5</v>
      </c>
      <c r="I38" s="142">
        <f>SUM(H38/G38*100)</f>
        <v>50.6875</v>
      </c>
      <c r="J38" s="140">
        <f t="shared" si="0"/>
        <v>109.95119305856753</v>
      </c>
    </row>
    <row r="39" spans="1:10" ht="15.75">
      <c r="A39" s="187"/>
      <c r="B39" s="168"/>
      <c r="C39" s="168"/>
      <c r="D39" s="188"/>
      <c r="E39" s="112"/>
      <c r="F39" s="188"/>
      <c r="G39" s="237"/>
      <c r="H39" s="189"/>
      <c r="I39" s="190"/>
      <c r="J39" s="188"/>
    </row>
    <row r="40" spans="1:10" ht="16.5" thickBot="1">
      <c r="A40" s="191" t="s">
        <v>227</v>
      </c>
      <c r="B40" s="165"/>
      <c r="C40" s="165"/>
      <c r="D40" s="192"/>
      <c r="E40" s="147"/>
      <c r="F40" s="192"/>
      <c r="G40" s="229"/>
      <c r="H40" s="148"/>
      <c r="I40" s="147"/>
      <c r="J40" s="192"/>
    </row>
    <row r="41" spans="1:10" ht="15.75">
      <c r="A41" s="187" t="s">
        <v>228</v>
      </c>
      <c r="B41" s="168">
        <v>2730</v>
      </c>
      <c r="C41" s="168">
        <v>400</v>
      </c>
      <c r="D41" s="140">
        <f>SUM(C41/B41*100)</f>
        <v>14.652014652014653</v>
      </c>
      <c r="E41" s="190">
        <v>400</v>
      </c>
      <c r="F41" s="140">
        <f>SUM(E41/C41*100)</f>
        <v>100</v>
      </c>
      <c r="G41" s="237">
        <v>186</v>
      </c>
      <c r="H41" s="193">
        <v>0</v>
      </c>
      <c r="I41" s="142">
        <f>SUM(H41/G41*100)</f>
        <v>0</v>
      </c>
      <c r="J41" s="140">
        <f>SUM(H41/E41*100)</f>
        <v>0</v>
      </c>
    </row>
    <row r="42" spans="1:10" ht="15.75">
      <c r="A42" s="182" t="s">
        <v>229</v>
      </c>
      <c r="B42" s="142"/>
      <c r="C42" s="142"/>
      <c r="D42" s="183"/>
      <c r="E42" s="142">
        <v>0</v>
      </c>
      <c r="F42" s="183"/>
      <c r="G42" s="236">
        <v>0</v>
      </c>
      <c r="H42" s="184">
        <v>0</v>
      </c>
      <c r="I42" s="131"/>
      <c r="J42" s="183"/>
    </row>
    <row r="43" spans="1:10" ht="15.75">
      <c r="A43" s="182" t="s">
        <v>230</v>
      </c>
      <c r="B43" s="142"/>
      <c r="C43" s="142"/>
      <c r="D43" s="183"/>
      <c r="E43" s="142">
        <v>0</v>
      </c>
      <c r="F43" s="183"/>
      <c r="G43" s="236">
        <v>0</v>
      </c>
      <c r="H43" s="184">
        <v>0</v>
      </c>
      <c r="I43" s="131"/>
      <c r="J43" s="183"/>
    </row>
    <row r="44" spans="1:10" ht="16.5" thickBot="1">
      <c r="A44" s="186" t="s">
        <v>231</v>
      </c>
      <c r="B44" s="165">
        <v>177.9</v>
      </c>
      <c r="C44" s="165">
        <v>0</v>
      </c>
      <c r="D44" s="140">
        <f>SUM(C44/B44*100)</f>
        <v>0</v>
      </c>
      <c r="E44" s="147">
        <v>0</v>
      </c>
      <c r="F44" s="183"/>
      <c r="G44" s="229">
        <v>0</v>
      </c>
      <c r="H44" s="148">
        <v>0</v>
      </c>
      <c r="I44" s="131"/>
      <c r="J44" s="183"/>
    </row>
    <row r="45" spans="1:10" ht="15.75">
      <c r="A45" s="187"/>
      <c r="B45" s="194"/>
      <c r="C45" s="194"/>
      <c r="D45" s="195"/>
      <c r="E45" s="196"/>
      <c r="F45" s="195"/>
      <c r="G45" s="238"/>
      <c r="H45" s="197"/>
      <c r="I45" s="196"/>
      <c r="J45" s="195"/>
    </row>
    <row r="46" spans="1:10" ht="16.5" thickBot="1">
      <c r="A46" s="186"/>
      <c r="B46" s="198"/>
      <c r="C46" s="198"/>
      <c r="D46" s="199"/>
      <c r="E46" s="147"/>
      <c r="F46" s="199"/>
      <c r="G46" s="229"/>
      <c r="H46" s="148"/>
      <c r="I46" s="200"/>
      <c r="J46" s="199"/>
    </row>
    <row r="47" spans="1:10" ht="16.5" thickBot="1">
      <c r="A47" s="134" t="s">
        <v>232</v>
      </c>
      <c r="B47" s="154">
        <v>16305</v>
      </c>
      <c r="C47" s="154">
        <v>20182.6</v>
      </c>
      <c r="D47" s="136">
        <f>SUM(C47/B47*100)</f>
        <v>123.78166206685064</v>
      </c>
      <c r="E47" s="135">
        <v>26025.9</v>
      </c>
      <c r="F47" s="136">
        <f>SUM(E47/C47*100)</f>
        <v>128.95216671786588</v>
      </c>
      <c r="G47" s="230">
        <v>21600</v>
      </c>
      <c r="H47" s="137">
        <v>28270.5</v>
      </c>
      <c r="I47" s="135">
        <f>SUM(H47/G47*100)</f>
        <v>130.88194444444446</v>
      </c>
      <c r="J47" s="136">
        <f>SUM(H47/E47*100)</f>
        <v>108.62448560856683</v>
      </c>
    </row>
    <row r="48" spans="1:10" ht="15.75">
      <c r="A48" s="182"/>
      <c r="B48" s="142"/>
      <c r="C48" s="142"/>
      <c r="D48" s="188"/>
      <c r="E48" s="201"/>
      <c r="F48" s="188"/>
      <c r="G48" s="228"/>
      <c r="H48" s="133"/>
      <c r="I48" s="190"/>
      <c r="J48" s="188"/>
    </row>
    <row r="49" spans="1:10" ht="15.75">
      <c r="A49" s="182" t="s">
        <v>233</v>
      </c>
      <c r="B49" s="142">
        <v>9203.2</v>
      </c>
      <c r="C49" s="142">
        <v>9871.3</v>
      </c>
      <c r="D49" s="140">
        <f aca="true" t="shared" si="1" ref="D49:D60">SUM(C49/B49*100)</f>
        <v>107.25943150208622</v>
      </c>
      <c r="E49" s="201">
        <v>11026.4</v>
      </c>
      <c r="F49" s="140">
        <f aca="true" t="shared" si="2" ref="F49:F55">SUM(E49/C49*100)</f>
        <v>111.70159958668057</v>
      </c>
      <c r="G49" s="228">
        <v>11500</v>
      </c>
      <c r="H49" s="133">
        <v>11408.8</v>
      </c>
      <c r="I49" s="142">
        <f>SUM(H49/G49*100)</f>
        <v>99.20695652173912</v>
      </c>
      <c r="J49" s="140">
        <f aca="true" t="shared" si="3" ref="J49:J55">SUM(H49/E49*100)</f>
        <v>103.46804033954871</v>
      </c>
    </row>
    <row r="50" spans="1:10" ht="15.75">
      <c r="A50" s="182" t="s">
        <v>234</v>
      </c>
      <c r="B50" s="142">
        <v>4705.4</v>
      </c>
      <c r="C50" s="142">
        <v>6140.7</v>
      </c>
      <c r="D50" s="140">
        <f t="shared" si="1"/>
        <v>130.5032515832873</v>
      </c>
      <c r="E50" s="201">
        <v>8364.9</v>
      </c>
      <c r="F50" s="140">
        <f t="shared" si="2"/>
        <v>136.22062631296106</v>
      </c>
      <c r="G50" s="228">
        <v>7300</v>
      </c>
      <c r="H50" s="133">
        <v>9803</v>
      </c>
      <c r="I50" s="142">
        <f>SUM(H50/G50*100)</f>
        <v>134.2876712328767</v>
      </c>
      <c r="J50" s="140">
        <f t="shared" si="3"/>
        <v>117.19207641454173</v>
      </c>
    </row>
    <row r="51" spans="1:10" ht="15.75">
      <c r="A51" s="182" t="s">
        <v>235</v>
      </c>
      <c r="B51" s="142">
        <v>1974.3</v>
      </c>
      <c r="C51" s="142">
        <v>2661.3</v>
      </c>
      <c r="D51" s="140">
        <f t="shared" si="1"/>
        <v>134.79714329129314</v>
      </c>
      <c r="E51" s="201">
        <v>3930.6</v>
      </c>
      <c r="F51" s="140">
        <f t="shared" si="2"/>
        <v>147.6947356555067</v>
      </c>
      <c r="G51" s="228">
        <v>2800</v>
      </c>
      <c r="H51" s="133">
        <v>3524.7</v>
      </c>
      <c r="I51" s="142">
        <f>SUM(H51/G51*100)</f>
        <v>125.88214285714285</v>
      </c>
      <c r="J51" s="140">
        <f t="shared" si="3"/>
        <v>89.67333231567699</v>
      </c>
    </row>
    <row r="52" spans="1:10" ht="16.5" thickBot="1">
      <c r="A52" s="182" t="s">
        <v>236</v>
      </c>
      <c r="B52" s="142">
        <v>113.8</v>
      </c>
      <c r="C52" s="142">
        <v>759</v>
      </c>
      <c r="D52" s="140">
        <f t="shared" si="1"/>
        <v>666.9595782073814</v>
      </c>
      <c r="E52" s="201">
        <v>2371.4</v>
      </c>
      <c r="F52" s="140">
        <f t="shared" si="2"/>
        <v>312.437417654809</v>
      </c>
      <c r="G52" s="228"/>
      <c r="H52" s="133">
        <v>3193.3</v>
      </c>
      <c r="I52" s="165"/>
      <c r="J52" s="140">
        <f t="shared" si="3"/>
        <v>134.65885131146158</v>
      </c>
    </row>
    <row r="53" spans="1:10" ht="16.5" thickBot="1">
      <c r="A53" s="134" t="s">
        <v>237</v>
      </c>
      <c r="B53" s="154">
        <v>43635.9</v>
      </c>
      <c r="C53" s="154">
        <v>45840.1</v>
      </c>
      <c r="D53" s="136">
        <f t="shared" si="1"/>
        <v>105.05134533721088</v>
      </c>
      <c r="E53" s="154">
        <f>SUM(E55+E58+E59+E60+E63)</f>
        <v>49642.1</v>
      </c>
      <c r="F53" s="136">
        <f t="shared" si="2"/>
        <v>108.2940482241531</v>
      </c>
      <c r="G53" s="231">
        <f>SUM(G55+G58+G59+G60+G63)</f>
        <v>59074.1</v>
      </c>
      <c r="H53" s="157">
        <v>56576.6</v>
      </c>
      <c r="I53" s="135">
        <f>SUM(H53/G53*100)</f>
        <v>95.7722589087265</v>
      </c>
      <c r="J53" s="136">
        <f t="shared" si="3"/>
        <v>113.96899003063932</v>
      </c>
    </row>
    <row r="54" spans="1:10" ht="16.5" thickBot="1">
      <c r="A54" s="202" t="s">
        <v>238</v>
      </c>
      <c r="B54" s="203">
        <v>42895.5</v>
      </c>
      <c r="C54" s="203">
        <v>45822.1</v>
      </c>
      <c r="D54" s="204">
        <f t="shared" si="1"/>
        <v>106.82262708209484</v>
      </c>
      <c r="E54" s="203">
        <f>SUM(E53-E56-E57-E61-E62)</f>
        <v>49407.1</v>
      </c>
      <c r="F54" s="204">
        <f t="shared" si="2"/>
        <v>107.82373570831543</v>
      </c>
      <c r="G54" s="205">
        <f>SUM(G53-G56-G57-G61-G62)</f>
        <v>57804.1</v>
      </c>
      <c r="H54" s="206">
        <f>SUM(H53-H56-H57-H61-H62)</f>
        <v>56009.1</v>
      </c>
      <c r="I54" s="207">
        <f>SUM(H54/G54*100)</f>
        <v>96.89468394110452</v>
      </c>
      <c r="J54" s="204">
        <f t="shared" si="3"/>
        <v>113.36245195528578</v>
      </c>
    </row>
    <row r="55" spans="1:10" ht="15.75">
      <c r="A55" s="182" t="s">
        <v>239</v>
      </c>
      <c r="B55" s="142">
        <v>40788.9</v>
      </c>
      <c r="C55" s="142">
        <v>42786.9</v>
      </c>
      <c r="D55" s="140">
        <f t="shared" si="1"/>
        <v>104.89839147415105</v>
      </c>
      <c r="E55" s="131">
        <v>46722.1</v>
      </c>
      <c r="F55" s="140">
        <f t="shared" si="2"/>
        <v>109.19720755651845</v>
      </c>
      <c r="G55" s="228">
        <v>55301.4</v>
      </c>
      <c r="H55" s="133">
        <v>53674.5</v>
      </c>
      <c r="I55" s="142">
        <f>SUM(H55/G55*100)</f>
        <v>97.05812149421172</v>
      </c>
      <c r="J55" s="140">
        <f t="shared" si="3"/>
        <v>114.88032430049164</v>
      </c>
    </row>
    <row r="56" spans="1:10" ht="15.75">
      <c r="A56" s="182" t="s">
        <v>240</v>
      </c>
      <c r="B56" s="142">
        <v>309.9</v>
      </c>
      <c r="C56" s="142">
        <v>18</v>
      </c>
      <c r="D56" s="140">
        <f t="shared" si="1"/>
        <v>5.808325266214909</v>
      </c>
      <c r="E56" s="131">
        <v>0</v>
      </c>
      <c r="F56" s="183"/>
      <c r="G56" s="228">
        <v>0</v>
      </c>
      <c r="H56" s="133">
        <v>0</v>
      </c>
      <c r="I56" s="131"/>
      <c r="J56" s="140"/>
    </row>
    <row r="57" spans="1:10" ht="15.75">
      <c r="A57" s="182" t="s">
        <v>241</v>
      </c>
      <c r="B57" s="142">
        <v>430.5</v>
      </c>
      <c r="C57" s="142">
        <v>0</v>
      </c>
      <c r="D57" s="140">
        <f t="shared" si="1"/>
        <v>0</v>
      </c>
      <c r="E57" s="131">
        <v>235</v>
      </c>
      <c r="F57" s="140"/>
      <c r="G57" s="228">
        <v>1270</v>
      </c>
      <c r="H57" s="133">
        <v>567.5</v>
      </c>
      <c r="I57" s="142">
        <f>SUM(H57/G57*100)</f>
        <v>44.68503937007874</v>
      </c>
      <c r="J57" s="140">
        <f>SUM(H57/E57*100)</f>
        <v>241.48936170212764</v>
      </c>
    </row>
    <row r="58" spans="1:10" ht="15.75">
      <c r="A58" s="182" t="s">
        <v>242</v>
      </c>
      <c r="B58" s="142">
        <v>267.5</v>
      </c>
      <c r="C58" s="142">
        <v>190.8</v>
      </c>
      <c r="D58" s="140">
        <f t="shared" si="1"/>
        <v>71.32710280373831</v>
      </c>
      <c r="E58" s="131">
        <v>182.9</v>
      </c>
      <c r="F58" s="140">
        <f>SUM(E58/C58*100)</f>
        <v>95.85953878406708</v>
      </c>
      <c r="G58" s="228">
        <v>267.1</v>
      </c>
      <c r="H58" s="133">
        <v>171.9</v>
      </c>
      <c r="I58" s="142">
        <f>SUM(H58/G58*100)</f>
        <v>64.35791838262823</v>
      </c>
      <c r="J58" s="140">
        <f>SUM(H58/E58*100)</f>
        <v>93.98578458173866</v>
      </c>
    </row>
    <row r="59" spans="1:10" ht="15.75">
      <c r="A59" s="182" t="s">
        <v>243</v>
      </c>
      <c r="B59" s="142">
        <v>805.2</v>
      </c>
      <c r="C59" s="142">
        <v>786.7</v>
      </c>
      <c r="D59" s="140">
        <f t="shared" si="1"/>
        <v>97.70243417784401</v>
      </c>
      <c r="E59" s="131">
        <v>847.2</v>
      </c>
      <c r="F59" s="140">
        <f>SUM(E59/C59*100)</f>
        <v>107.69035210372442</v>
      </c>
      <c r="G59" s="228">
        <v>1068.5</v>
      </c>
      <c r="H59" s="133">
        <v>959.3</v>
      </c>
      <c r="I59" s="142">
        <f>SUM(H59/G59*100)</f>
        <v>89.78006551240055</v>
      </c>
      <c r="J59" s="140">
        <f>SUM(H59/E59*100)</f>
        <v>113.2318224740321</v>
      </c>
    </row>
    <row r="60" spans="1:10" ht="15.75">
      <c r="A60" s="182" t="s">
        <v>244</v>
      </c>
      <c r="B60" s="142">
        <v>1762.8</v>
      </c>
      <c r="C60" s="142">
        <v>1772.9</v>
      </c>
      <c r="D60" s="140">
        <f t="shared" si="1"/>
        <v>100.5729521216247</v>
      </c>
      <c r="E60" s="131">
        <v>1631.5</v>
      </c>
      <c r="F60" s="140">
        <f>SUM(E60/C60*100)</f>
        <v>92.0243668565627</v>
      </c>
      <c r="G60" s="228">
        <v>2137.1</v>
      </c>
      <c r="H60" s="133">
        <v>1769.1</v>
      </c>
      <c r="I60" s="142">
        <f>SUM(H60/G60*100)</f>
        <v>82.78040335033457</v>
      </c>
      <c r="J60" s="140">
        <f>SUM(H60/E60*100)</f>
        <v>108.43395648176524</v>
      </c>
    </row>
    <row r="61" spans="1:10" ht="15.75">
      <c r="A61" s="182" t="s">
        <v>240</v>
      </c>
      <c r="B61" s="142">
        <v>0</v>
      </c>
      <c r="C61" s="142">
        <v>0</v>
      </c>
      <c r="D61" s="183"/>
      <c r="E61" s="131">
        <v>0</v>
      </c>
      <c r="F61" s="183"/>
      <c r="G61" s="228">
        <v>0</v>
      </c>
      <c r="H61" s="133">
        <v>0</v>
      </c>
      <c r="I61" s="131"/>
      <c r="J61" s="140"/>
    </row>
    <row r="62" spans="1:10" ht="15.75">
      <c r="A62" s="182" t="s">
        <v>241</v>
      </c>
      <c r="B62" s="142">
        <v>0</v>
      </c>
      <c r="C62" s="142">
        <v>0</v>
      </c>
      <c r="D62" s="183"/>
      <c r="E62" s="131">
        <v>0</v>
      </c>
      <c r="F62" s="183"/>
      <c r="G62" s="228">
        <v>0</v>
      </c>
      <c r="H62" s="133">
        <v>0</v>
      </c>
      <c r="I62" s="131"/>
      <c r="J62" s="140"/>
    </row>
    <row r="63" spans="1:10" ht="15.75">
      <c r="A63" s="182" t="s">
        <v>245</v>
      </c>
      <c r="B63" s="142">
        <v>11.5</v>
      </c>
      <c r="C63" s="142">
        <v>302.8</v>
      </c>
      <c r="D63" s="140">
        <f>SUM(C63/B63*100)</f>
        <v>2633.04347826087</v>
      </c>
      <c r="E63" s="131">
        <v>258.4</v>
      </c>
      <c r="F63" s="140">
        <f>SUM(E63/C63*100)</f>
        <v>85.33685601056801</v>
      </c>
      <c r="G63" s="228">
        <v>300</v>
      </c>
      <c r="H63" s="133">
        <v>2</v>
      </c>
      <c r="I63" s="208" t="s">
        <v>246</v>
      </c>
      <c r="J63" s="140"/>
    </row>
    <row r="64" spans="1:10" ht="16.5" thickBot="1">
      <c r="A64" s="186"/>
      <c r="B64" s="165"/>
      <c r="C64" s="165"/>
      <c r="D64" s="192"/>
      <c r="E64" s="147"/>
      <c r="F64" s="192"/>
      <c r="G64" s="229"/>
      <c r="H64" s="148"/>
      <c r="I64" s="147"/>
      <c r="J64" s="192"/>
    </row>
    <row r="65" spans="1:10" ht="16.5" thickBot="1">
      <c r="A65" s="134" t="s">
        <v>247</v>
      </c>
      <c r="B65" s="154">
        <v>13284.7</v>
      </c>
      <c r="C65" s="154">
        <v>15945.3</v>
      </c>
      <c r="D65" s="136">
        <f aca="true" t="shared" si="4" ref="D65:D73">SUM(C65/B65*100)</f>
        <v>120.02755049041379</v>
      </c>
      <c r="E65" s="135">
        <v>17983.8</v>
      </c>
      <c r="F65" s="136">
        <f>SUM(E65/C65*100)</f>
        <v>112.78433143308686</v>
      </c>
      <c r="G65" s="230">
        <v>5281.7</v>
      </c>
      <c r="H65" s="137">
        <v>18757.3</v>
      </c>
      <c r="I65" s="135">
        <f>SUM(H65/G65*100)</f>
        <v>355.1375504099059</v>
      </c>
      <c r="J65" s="136">
        <f>SUM(H65/E65*100)</f>
        <v>104.30109320610772</v>
      </c>
    </row>
    <row r="66" spans="1:10" ht="15.75">
      <c r="A66" s="182" t="s">
        <v>248</v>
      </c>
      <c r="B66" s="142">
        <v>4673.4</v>
      </c>
      <c r="C66" s="142">
        <v>5115.7</v>
      </c>
      <c r="D66" s="140">
        <f t="shared" si="4"/>
        <v>109.46420165190227</v>
      </c>
      <c r="E66" s="131">
        <v>3872</v>
      </c>
      <c r="F66" s="140">
        <f>SUM(E66/C66*100)</f>
        <v>75.68856656957992</v>
      </c>
      <c r="G66" s="228">
        <v>1255.7</v>
      </c>
      <c r="H66" s="133">
        <v>2571</v>
      </c>
      <c r="I66" s="142">
        <f>SUM(H66/G66*100)</f>
        <v>204.74635661384087</v>
      </c>
      <c r="J66" s="140">
        <f>SUM(H66/E66*100)</f>
        <v>66.39979338842976</v>
      </c>
    </row>
    <row r="67" spans="1:10" ht="15.75">
      <c r="A67" s="182" t="s">
        <v>249</v>
      </c>
      <c r="B67" s="142">
        <v>3928.9</v>
      </c>
      <c r="C67" s="142">
        <v>5089.8</v>
      </c>
      <c r="D67" s="140">
        <f t="shared" si="4"/>
        <v>129.5477105551172</v>
      </c>
      <c r="E67" s="131">
        <f>6204.8+548.1</f>
        <v>6752.900000000001</v>
      </c>
      <c r="F67" s="140">
        <f>SUM(E67/C67*100)</f>
        <v>132.67515423002868</v>
      </c>
      <c r="G67" s="228">
        <v>1718.8</v>
      </c>
      <c r="H67" s="133">
        <v>6611.9</v>
      </c>
      <c r="I67" s="142">
        <f>SUM(H67/G67*100)</f>
        <v>384.6811729113335</v>
      </c>
      <c r="J67" s="140">
        <f>SUM(H67/E67*100)</f>
        <v>97.91200817426585</v>
      </c>
    </row>
    <row r="68" spans="1:10" ht="15.75">
      <c r="A68" s="182" t="s">
        <v>250</v>
      </c>
      <c r="B68" s="142">
        <v>4000</v>
      </c>
      <c r="C68" s="142">
        <v>4400</v>
      </c>
      <c r="D68" s="140">
        <f t="shared" si="4"/>
        <v>110.00000000000001</v>
      </c>
      <c r="E68" s="131">
        <v>3391.2</v>
      </c>
      <c r="F68" s="140">
        <f>SUM(E68/C68*100)</f>
        <v>77.07272727272726</v>
      </c>
      <c r="G68" s="228">
        <v>2307.2</v>
      </c>
      <c r="H68" s="133">
        <v>2823.7</v>
      </c>
      <c r="I68" s="142">
        <f>SUM(H68/G68*100)</f>
        <v>122.3864424410541</v>
      </c>
      <c r="J68" s="140">
        <f>SUM(H68/E68*100)</f>
        <v>83.26551073366359</v>
      </c>
    </row>
    <row r="69" spans="1:10" ht="15.75">
      <c r="A69" s="182" t="s">
        <v>251</v>
      </c>
      <c r="B69" s="142">
        <v>113</v>
      </c>
      <c r="C69" s="142">
        <v>756.4</v>
      </c>
      <c r="D69" s="140">
        <f t="shared" si="4"/>
        <v>669.3805309734513</v>
      </c>
      <c r="E69" s="131">
        <v>2041.1</v>
      </c>
      <c r="F69" s="140">
        <f>SUM(E69/C69*100)</f>
        <v>269.8439978847171</v>
      </c>
      <c r="G69" s="228"/>
      <c r="H69" s="133">
        <v>2865.5</v>
      </c>
      <c r="I69" s="142"/>
      <c r="J69" s="140">
        <f>SUM(H69/E69*100)</f>
        <v>140.38998579197494</v>
      </c>
    </row>
    <row r="70" spans="1:10" ht="16.5" thickBot="1">
      <c r="A70" s="182" t="s">
        <v>252</v>
      </c>
      <c r="B70" s="142">
        <v>18</v>
      </c>
      <c r="C70" s="142">
        <v>0</v>
      </c>
      <c r="D70" s="140">
        <f t="shared" si="4"/>
        <v>0</v>
      </c>
      <c r="E70" s="131">
        <v>0</v>
      </c>
      <c r="F70" s="183"/>
      <c r="G70" s="228">
        <v>0</v>
      </c>
      <c r="H70" s="133">
        <v>0</v>
      </c>
      <c r="I70" s="131"/>
      <c r="J70" s="183"/>
    </row>
    <row r="71" spans="1:10" ht="16.5" thickBot="1">
      <c r="A71" s="134" t="s">
        <v>253</v>
      </c>
      <c r="B71" s="154">
        <v>2067.9</v>
      </c>
      <c r="C71" s="154">
        <v>1901.9</v>
      </c>
      <c r="D71" s="136">
        <f t="shared" si="4"/>
        <v>91.97253252091494</v>
      </c>
      <c r="E71" s="154">
        <f>SUM(E12-E53)</f>
        <v>2676.300000000003</v>
      </c>
      <c r="F71" s="136">
        <f>SUM(E71/C71*100)</f>
        <v>140.71717755928296</v>
      </c>
      <c r="G71" s="231">
        <f>SUM(G12-G53)</f>
        <v>0</v>
      </c>
      <c r="H71" s="157">
        <f>SUM(H12-H53)</f>
        <v>3618.4000000000015</v>
      </c>
      <c r="I71" s="209" t="s">
        <v>246</v>
      </c>
      <c r="J71" s="136">
        <f>SUM(H71/E71*100)</f>
        <v>135.20158427679996</v>
      </c>
    </row>
    <row r="72" spans="1:10" ht="16.5" thickBot="1">
      <c r="A72" s="134" t="s">
        <v>254</v>
      </c>
      <c r="B72" s="165">
        <v>256.6</v>
      </c>
      <c r="C72" s="165">
        <v>-156</v>
      </c>
      <c r="D72" s="140">
        <f t="shared" si="4"/>
        <v>-60.7950116913484</v>
      </c>
      <c r="E72" s="165">
        <f>SUM(E19-E53)</f>
        <v>774.4000000000015</v>
      </c>
      <c r="F72" s="140">
        <f>SUM(E72/C72*100)</f>
        <v>-496.4102564102573</v>
      </c>
      <c r="G72" s="232">
        <f>SUM(G19-G53)</f>
        <v>-1776</v>
      </c>
      <c r="H72" s="166">
        <f>SUM(H19-H53)</f>
        <v>942.0999999999985</v>
      </c>
      <c r="I72" s="210">
        <f>SUM(H72/G72*100)</f>
        <v>-53.04617117117109</v>
      </c>
      <c r="J72" s="136">
        <f>SUM(H72/E72*100)</f>
        <v>121.65547520661116</v>
      </c>
    </row>
    <row r="73" spans="1:10" ht="16.5" thickBot="1">
      <c r="A73" s="211" t="s">
        <v>255</v>
      </c>
      <c r="B73" s="212">
        <v>-1910.9</v>
      </c>
      <c r="C73" s="212">
        <v>-538</v>
      </c>
      <c r="D73" s="213">
        <f t="shared" si="4"/>
        <v>28.154272855722436</v>
      </c>
      <c r="E73" s="212">
        <f>SUM(E21-E54)</f>
        <v>609.4000000000015</v>
      </c>
      <c r="F73" s="213">
        <f>SUM(E73/C73*100)</f>
        <v>-113.27137546468428</v>
      </c>
      <c r="G73" s="214">
        <f>SUM(G21-G54)</f>
        <v>-692</v>
      </c>
      <c r="H73" s="215">
        <f>SUM(H21-H54)</f>
        <v>1509.5999999999913</v>
      </c>
      <c r="I73" s="212">
        <f>SUM(H73/G73*100)</f>
        <v>-218.15028901733976</v>
      </c>
      <c r="J73" s="213">
        <f>SUM(H73/E73*100)</f>
        <v>247.7190679356724</v>
      </c>
    </row>
    <row r="74" ht="16.5" thickTop="1"/>
    <row r="75" ht="15.75">
      <c r="A75" s="1" t="s">
        <v>256</v>
      </c>
    </row>
    <row r="76" ht="15.75">
      <c r="A76" s="1" t="s">
        <v>257</v>
      </c>
    </row>
  </sheetData>
  <printOptions verticalCentered="1"/>
  <pageMargins left="2.2440944881889764" right="0.7874015748031497" top="0.984251968503937" bottom="0.984251968503937" header="0.5118110236220472" footer="0.5118110236220472"/>
  <pageSetup horizontalDpi="300" verticalDpi="300" orientation="portrait" paperSize="9" scale="58" r:id="rId1"/>
  <headerFooter alignWithMargins="0">
    <oddFooter>&amp;C&amp;"Times New Roman,obyčejné"&amp;11 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Mifkovičová</dc:creator>
  <cp:keywords/>
  <dc:description/>
  <cp:lastModifiedBy>user</cp:lastModifiedBy>
  <cp:lastPrinted>2003-04-30T08:29:20Z</cp:lastPrinted>
  <dcterms:created xsi:type="dcterms:W3CDTF">2003-03-21T13:48:21Z</dcterms:created>
  <dcterms:modified xsi:type="dcterms:W3CDTF">2003-05-02T08:26:09Z</dcterms:modified>
  <cp:category/>
  <cp:version/>
  <cp:contentType/>
  <cp:contentStatus/>
</cp:coreProperties>
</file>