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5445" tabRatio="598" activeTab="1"/>
  </bookViews>
  <sheets>
    <sheet name="Priloha 2 list1 " sheetId="1" r:id="rId1"/>
    <sheet name="Priloha 2 list2" sheetId="2" r:id="rId2"/>
  </sheets>
  <definedNames>
    <definedName name="A69999">#REF!</definedName>
    <definedName name="A71288">#REF!</definedName>
    <definedName name="_xlnm.Print_Area" localSheetId="0">'Priloha 2 list1 '!$A$1:$T$71</definedName>
    <definedName name="_xlnm.Print_Area" localSheetId="1">'Priloha 2 list2'!$A$1:$R$65</definedName>
  </definedNames>
  <calcPr fullCalcOnLoad="1"/>
</workbook>
</file>

<file path=xl/sharedStrings.xml><?xml version="1.0" encoding="utf-8"?>
<sst xmlns="http://schemas.openxmlformats.org/spreadsheetml/2006/main" count="225" uniqueCount="180">
  <si>
    <t>v tis. Sk</t>
  </si>
  <si>
    <t>% pln.</t>
  </si>
  <si>
    <t>I.</t>
  </si>
  <si>
    <t>II.</t>
  </si>
  <si>
    <t>A.</t>
  </si>
  <si>
    <t>B.</t>
  </si>
  <si>
    <t>C.</t>
  </si>
  <si>
    <t>D.</t>
  </si>
  <si>
    <t>Ministerstvo financií SR</t>
  </si>
  <si>
    <t>Rozdiel</t>
  </si>
  <si>
    <t>1.</t>
  </si>
  <si>
    <t>2.</t>
  </si>
  <si>
    <t>list 1</t>
  </si>
  <si>
    <t>Index</t>
  </si>
  <si>
    <t>v  tom :</t>
  </si>
  <si>
    <t xml:space="preserve">                          v tom : - za ....telia</t>
  </si>
  <si>
    <t xml:space="preserve">                                      - zam..nci</t>
  </si>
  <si>
    <t xml:space="preserve">                                             SPOLU (zam.+zam.)</t>
  </si>
  <si>
    <t xml:space="preserve">                                     - SZČO  </t>
  </si>
  <si>
    <t xml:space="preserve">               -  dlžné sumy z výberu, v tom:</t>
  </si>
  <si>
    <t xml:space="preserve">                                                  - poistné </t>
  </si>
  <si>
    <t xml:space="preserve">                                                 - sankcie ( pokuty..)  </t>
  </si>
  <si>
    <t xml:space="preserve">                             -  zamestnávatelia</t>
  </si>
  <si>
    <t xml:space="preserve">                             -  zamestnanci</t>
  </si>
  <si>
    <t xml:space="preserve">                                                 S P O L U (z+z)  </t>
  </si>
  <si>
    <t xml:space="preserve">                             -  SZČO  </t>
  </si>
  <si>
    <t>z toho:  -  poistné a penále za r. 1993</t>
  </si>
  <si>
    <t xml:space="preserve">z toho: -odvod poist.a pen.za r.93 do ŠR  </t>
  </si>
  <si>
    <t xml:space="preserve">          -odvod prípl.na kúpeľnú star.do ŠR</t>
  </si>
  <si>
    <t>2</t>
  </si>
  <si>
    <t xml:space="preserve">                           - úhrada záväzkov ŽSR</t>
  </si>
  <si>
    <t xml:space="preserve">                           - úhrada záväzkov ŠZZ </t>
  </si>
  <si>
    <t xml:space="preserve">                 - na poistnom, z toho : </t>
  </si>
  <si>
    <t xml:space="preserve">                 - zo sankcií ( pokuty, penále..)  </t>
  </si>
  <si>
    <t xml:space="preserve"> na  n e m o c e n sk é   poistenie (NP), v tom :</t>
  </si>
  <si>
    <t xml:space="preserve">na  d ô c h o d k o v é  zabezp. (DZ), v tom: </t>
  </si>
  <si>
    <t>P r e v o d   z  min. období</t>
  </si>
  <si>
    <t>3.</t>
  </si>
  <si>
    <t>Príjmy nepatriace SP</t>
  </si>
  <si>
    <t>4.</t>
  </si>
  <si>
    <t>Prísp. zo ŠR na zvýš. dôch. /§13ods.1b)-ŽN/</t>
  </si>
  <si>
    <t xml:space="preserve"> R e z e r v n ý    fond  (RF)</t>
  </si>
  <si>
    <t>E.</t>
  </si>
  <si>
    <t>F.</t>
  </si>
  <si>
    <t>G.</t>
  </si>
  <si>
    <t>H.</t>
  </si>
  <si>
    <t>D.1</t>
  </si>
  <si>
    <t>D.2</t>
  </si>
  <si>
    <t>D.2.1</t>
  </si>
  <si>
    <t>D.2.2</t>
  </si>
  <si>
    <t xml:space="preserve"> Nedoplatky na poistnom celkom, v tom :</t>
  </si>
  <si>
    <t>Nedoplatky z titulu sankcií celkom, v tom :</t>
  </si>
  <si>
    <t xml:space="preserve">                     - nemocenské poistenie</t>
  </si>
  <si>
    <t xml:space="preserve">                     - dôchodkové zabezpečenie</t>
  </si>
  <si>
    <t xml:space="preserve">                      - nemocenské poistenie</t>
  </si>
  <si>
    <t xml:space="preserve">                      - dôchodkové zabezpečenie</t>
  </si>
  <si>
    <t>J.</t>
  </si>
  <si>
    <t>S A L D O    C E L K O M  (A - E)</t>
  </si>
  <si>
    <t>S A L D O   bežného roka (A - E - II.)</t>
  </si>
  <si>
    <t xml:space="preserve"> Výdavky v súlade s §49 - transfer</t>
  </si>
  <si>
    <t xml:space="preserve"> Výdavky-odvod príjmov nepatriacich SP</t>
  </si>
  <si>
    <t xml:space="preserve"> Predpísané  na poistnom a sankciách, v tom:</t>
  </si>
  <si>
    <t xml:space="preserve"> Nepredpísané pohľ., t.j. bez plat. výmerov /PV/</t>
  </si>
  <si>
    <t>S A L D O   celkom ( vrát. §49-transferu a cudzích prostr.)</t>
  </si>
  <si>
    <t>Návratná fin. výpomoc zo ŠR/§2 ods.4/</t>
  </si>
  <si>
    <t xml:space="preserve"> Zákl. f. nemocenského poistenia (ZFNP)</t>
  </si>
  <si>
    <t xml:space="preserve"> Zákl. f. dôchodkového zabezp. (ZFDZ) </t>
  </si>
  <si>
    <t xml:space="preserve"> V Ý D A V K Y  spolu (1+2+3+4)</t>
  </si>
  <si>
    <t xml:space="preserve">na   p o i s t n o m    a    s a n k c i a c h,  v  tom : </t>
  </si>
  <si>
    <t>pracovná neschopnosť                                             ( % )</t>
  </si>
  <si>
    <t>list 2</t>
  </si>
  <si>
    <t>V Ý D A V K Y celk., vrát. transferu a cudz. prostr.(E+F+G)</t>
  </si>
  <si>
    <t xml:space="preserve">                                     - dobrovoľne pokrač.  </t>
  </si>
  <si>
    <t xml:space="preserve">                                     - dobr.plat.+ plat.v cudzine</t>
  </si>
  <si>
    <t>2/1</t>
  </si>
  <si>
    <t>z toho : záloha poukázaná Slov.pošte</t>
  </si>
  <si>
    <t>1.1</t>
  </si>
  <si>
    <t>1</t>
  </si>
  <si>
    <t>-</t>
  </si>
  <si>
    <t>(r.01-r.00)</t>
  </si>
  <si>
    <t>01/00</t>
  </si>
  <si>
    <t>Priemerný počet pracovníkov</t>
  </si>
  <si>
    <t>- V ý b e r   z  NÚP celkom</t>
  </si>
  <si>
    <t>- V ý b e r   zo ŠR  celkom</t>
  </si>
  <si>
    <t>- V ý b e r   celkom  (bez štátu a NÚP), v tom :</t>
  </si>
  <si>
    <t xml:space="preserve">          a) čistý výber (bez dlžných súm)</t>
  </si>
  <si>
    <t xml:space="preserve">           b) dlžné sumy z výberu, v tom:</t>
  </si>
  <si>
    <t>P o h ľ a d á v k y  Sociálnej poisťovne</t>
  </si>
  <si>
    <t>-  k  ŠR</t>
  </si>
  <si>
    <t xml:space="preserve">                   z toho :</t>
  </si>
  <si>
    <t>bez fiktívneho penále</t>
  </si>
  <si>
    <t xml:space="preserve">                                       -  prijaté úroky</t>
  </si>
  <si>
    <t>O s t a t n é   p r í j m y</t>
  </si>
  <si>
    <t>1/2002</t>
  </si>
  <si>
    <t>2/2002</t>
  </si>
  <si>
    <t>3/2002</t>
  </si>
  <si>
    <t>4/2002</t>
  </si>
  <si>
    <t>5/2002</t>
  </si>
  <si>
    <t>6/2002</t>
  </si>
  <si>
    <t>7/2002</t>
  </si>
  <si>
    <t>8/2002</t>
  </si>
  <si>
    <t>9/2002</t>
  </si>
  <si>
    <t>10/2002</t>
  </si>
  <si>
    <t>11/2002</t>
  </si>
  <si>
    <t>12/2002</t>
  </si>
  <si>
    <t>Rozpočet 2002 (SP)</t>
  </si>
  <si>
    <t>a)</t>
  </si>
  <si>
    <t>- V Ý B E R, v tom:</t>
  </si>
  <si>
    <t xml:space="preserve"> -zo ŠR</t>
  </si>
  <si>
    <t xml:space="preserve"> -NÚP</t>
  </si>
  <si>
    <t xml:space="preserve">              - č i s t ý    výber </t>
  </si>
  <si>
    <t xml:space="preserve"> -iné</t>
  </si>
  <si>
    <t>b)</t>
  </si>
  <si>
    <t xml:space="preserve"> -V Ý B E R </t>
  </si>
  <si>
    <t xml:space="preserve">              - č i s t ý   výber </t>
  </si>
  <si>
    <t xml:space="preserve"> -z NÚP </t>
  </si>
  <si>
    <t xml:space="preserve"> z  poistného na NP a DZ  (a+b)</t>
  </si>
  <si>
    <t xml:space="preserve"> PRÍJMY   z  poistného  celkom (1.1+1.2)</t>
  </si>
  <si>
    <t>1.2</t>
  </si>
  <si>
    <t>Informatívne údaje z poistného celkom na NP+DZ :</t>
  </si>
  <si>
    <t>P R Í J M Y    bežného roka (1 + 2+ 3 +4)</t>
  </si>
  <si>
    <t>P R Í J M Y  celkom, vrátane nepatriacich SP( A+B+C )</t>
  </si>
  <si>
    <t xml:space="preserve">uzn. NR SR č.1801/01 </t>
  </si>
  <si>
    <t>Príjmy na dávky soc.zab.hradené štátom (transfer- §49z.č.274/94Z.z.)</t>
  </si>
  <si>
    <t>Príjmy  z poistného na NP a DZ celkom, v tom :</t>
  </si>
  <si>
    <t>z výb.(bez NÚP a štátu)=6,8 mldSk</t>
  </si>
  <si>
    <t>príjmy na poistn.=7,6 mld Sk</t>
  </si>
  <si>
    <t>z čist.výb.(bez NÚP a štátu)  = 6,4 mldSk</t>
  </si>
  <si>
    <t>5.</t>
  </si>
  <si>
    <t xml:space="preserve"> Zákl. f. poistenia zodpovednosti za škodu (ZFPZŠ) </t>
  </si>
  <si>
    <t>výd.c.(bez§49)= 7,54 mld Sk</t>
  </si>
  <si>
    <t>dávky NP= 0,796 mld Sk</t>
  </si>
  <si>
    <t>dávky DZ= 6,5 mld Sk</t>
  </si>
  <si>
    <t>úspešnosť  výberu  b. r.  vrát. štátu a NÚP</t>
  </si>
  <si>
    <t xml:space="preserve">SF celkom na 1 pracovníka/mesačne </t>
  </si>
  <si>
    <t>na poistenie zodpovednosti za škodu</t>
  </si>
  <si>
    <t xml:space="preserve">                                       z toho : zamestnávatelia</t>
  </si>
  <si>
    <t>Z D R O J E    celkom ( I. + II.)</t>
  </si>
  <si>
    <t>P o h ľ a d á v k y  evidované  SP ( účt.stav k...) z toho :</t>
  </si>
  <si>
    <t>927 000</t>
  </si>
  <si>
    <t>výd.c.(bez§49)= 7,6 mld Sk</t>
  </si>
  <si>
    <t>Rozpis rozp. 2002 (SP)</t>
  </si>
  <si>
    <t>po prem.účt.záv.za r.2001</t>
  </si>
  <si>
    <t>5.1</t>
  </si>
  <si>
    <t>5.2</t>
  </si>
  <si>
    <t>(doplatok r.2001)</t>
  </si>
  <si>
    <t>Skutočnosť za  1- 12/2002</t>
  </si>
  <si>
    <t>príjmy v b.r.=7,7  mld Sk</t>
  </si>
  <si>
    <t>príjmy na poistn.(NP+DZ)=7,6 mld Sk</t>
  </si>
  <si>
    <t>z výb.(bez NÚP a štátu)=6,9 mldSk</t>
  </si>
  <si>
    <t>z čist.výb.(bez NÚP a štátu) =6,6 mldSk</t>
  </si>
  <si>
    <t>dávky DZ= 6,6 mld Sk</t>
  </si>
  <si>
    <t>dávky NP= 0,72 mld Sk</t>
  </si>
  <si>
    <t>Z Á V Ä Z K Y   celkom, vrátane vnút.zúčt.fondov (účt. stav k ...)</t>
  </si>
  <si>
    <t>Z Á V Ä Z K Y  bez vnút.zúčt.(účt. stav k ...) v tom:</t>
  </si>
  <si>
    <t>-  k  VšZP</t>
  </si>
  <si>
    <t>schv.správnou radou SP</t>
  </si>
  <si>
    <t xml:space="preserve">Prevod k 31.12.2002 je vrátane  fin.prostr.pouk. Slov.poisťovńou, a.s.vo výške 663 086,0 mil.Sk na základe Dohody o prevode fin.prostr.poist.zodp.zamestnávateľa za škodu pri prac. úraze a pri chorobe z povolania    </t>
  </si>
  <si>
    <t>3,02%</t>
  </si>
  <si>
    <t xml:space="preserve">      inf.-komunikačné techn.vo vzťahu k novým úlohamSP</t>
  </si>
  <si>
    <t xml:space="preserve">      fond absolventov</t>
  </si>
  <si>
    <t xml:space="preserve">      rezerva na krytie rozpočtom nezab.inv.aktivít</t>
  </si>
  <si>
    <r>
      <t xml:space="preserve"> účel. rezerva </t>
    </r>
    <r>
      <rPr>
        <i/>
        <sz val="10"/>
        <rFont val="Arial CE"/>
        <family val="0"/>
      </rPr>
      <t>(úver SB,</t>
    </r>
    <r>
      <rPr>
        <i/>
        <u val="single"/>
        <sz val="10"/>
        <rFont val="Arial CE"/>
        <family val="0"/>
      </rPr>
      <t>ZFPZŠ</t>
    </r>
    <r>
      <rPr>
        <i/>
        <sz val="10"/>
        <rFont val="Arial CE"/>
        <family val="0"/>
      </rPr>
      <t>, IIS SP.)v tom</t>
    </r>
    <r>
      <rPr>
        <b/>
        <i/>
        <sz val="10"/>
        <rFont val="Arial CE"/>
        <family val="0"/>
      </rPr>
      <t>:</t>
    </r>
  </si>
  <si>
    <t xml:space="preserve"> S p r á v n y   fond  (SF)  bez  účel.rezervy </t>
  </si>
  <si>
    <t xml:space="preserve">                                   účelovo určené</t>
  </si>
  <si>
    <t xml:space="preserve"> -  n e i n v e s t i č n é, z toho :</t>
  </si>
  <si>
    <t xml:space="preserve"> -  i n v e s t i č n é, z toho :</t>
  </si>
  <si>
    <t>5.3</t>
  </si>
  <si>
    <t xml:space="preserve"> S p r á v n y   fond  (SF), vrátane účel. rezervy (5.1až 5.3), v tom :</t>
  </si>
  <si>
    <t xml:space="preserve"> -  i n v e s t i č n é   výd. bez účel.rezervy </t>
  </si>
  <si>
    <t xml:space="preserve"> -  n e i n v e s t i č n é    nákl/výd.  bez účel.rezervy </t>
  </si>
  <si>
    <t>-  iné</t>
  </si>
  <si>
    <t>Príloha č. 2</t>
  </si>
  <si>
    <t xml:space="preserve">Schválený rozpočet  na rok  2002 (t.j. v NR SR)   b e z    valorizácie dôchodkov </t>
  </si>
  <si>
    <t xml:space="preserve">Informatívne ukazovatele </t>
  </si>
  <si>
    <t>Informácia o stave príjmov a výdavkov v Sociálnej poisťovni za rok 2002</t>
  </si>
  <si>
    <t xml:space="preserve">Informácia o stave príjmov a výdavkov v Sociálnej poisťovni za rok 2002 </t>
  </si>
  <si>
    <t>Poznámka :</t>
  </si>
  <si>
    <t xml:space="preserve">                         - sankcie ( pokuty,penále,poplatky)  </t>
  </si>
  <si>
    <t xml:space="preserve">                         - poistné 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</si>
</sst>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_);\(#,##0\)"/>
    <numFmt numFmtId="166" formatCode="#,##0.0_);\(#,##0.0\)"/>
    <numFmt numFmtId="167" formatCode="#,##0.00000000_);\(#,##0.00000000\)"/>
    <numFmt numFmtId="168" formatCode="#,##0.00_);\(#,##0.00\)"/>
    <numFmt numFmtId="169" formatCode="#,##0.000_);\(#,##0.000\)"/>
    <numFmt numFmtId="170" formatCode="0.0"/>
    <numFmt numFmtId="171" formatCode="0.000"/>
    <numFmt numFmtId="172" formatCode="#,##0.0000_);\(#,##0.0000\)"/>
    <numFmt numFmtId="173" formatCode="#,##0.0"/>
    <numFmt numFmtId="174" formatCode="#,##0_ ;\-#,##0\ "/>
  </numFmts>
  <fonts count="16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i/>
      <u val="single"/>
      <sz val="10"/>
      <name val="Arial CE"/>
      <family val="0"/>
    </font>
    <font>
      <b/>
      <i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165" fontId="1" fillId="2" borderId="6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164" fontId="3" fillId="4" borderId="8" xfId="0" applyNumberFormat="1" applyFont="1" applyFill="1" applyBorder="1" applyAlignment="1" applyProtection="1">
      <alignment horizontal="left"/>
      <protection locked="0"/>
    </xf>
    <xf numFmtId="164" fontId="1" fillId="2" borderId="9" xfId="0" applyNumberFormat="1" applyFont="1" applyFill="1" applyBorder="1" applyAlignment="1" applyProtection="1">
      <alignment horizontal="left"/>
      <protection locked="0"/>
    </xf>
    <xf numFmtId="164" fontId="3" fillId="2" borderId="9" xfId="0" applyNumberFormat="1" applyFont="1" applyFill="1" applyBorder="1" applyAlignment="1" applyProtection="1">
      <alignment horizontal="left"/>
      <protection locked="0"/>
    </xf>
    <xf numFmtId="164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5" fontId="4" fillId="2" borderId="12" xfId="0" applyNumberFormat="1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164" fontId="4" fillId="2" borderId="9" xfId="0" applyNumberFormat="1" applyFont="1" applyFill="1" applyBorder="1" applyAlignment="1" applyProtection="1">
      <alignment vertical="center"/>
      <protection locked="0"/>
    </xf>
    <xf numFmtId="164" fontId="3" fillId="2" borderId="9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 applyProtection="1">
      <alignment horizontal="left"/>
      <protection locked="0"/>
    </xf>
    <xf numFmtId="165" fontId="4" fillId="2" borderId="10" xfId="0" applyNumberFormat="1" applyFont="1" applyFill="1" applyBorder="1" applyAlignment="1" applyProtection="1">
      <alignment horizontal="right"/>
      <protection locked="0"/>
    </xf>
    <xf numFmtId="166" fontId="4" fillId="2" borderId="10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164" fontId="5" fillId="2" borderId="9" xfId="0" applyNumberFormat="1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164" fontId="4" fillId="2" borderId="9" xfId="0" applyNumberFormat="1" applyFont="1" applyFill="1" applyBorder="1" applyAlignment="1" applyProtection="1">
      <alignment horizontal="left"/>
      <protection locked="0"/>
    </xf>
    <xf numFmtId="0" fontId="3" fillId="4" borderId="9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49" fontId="3" fillId="2" borderId="15" xfId="0" applyNumberFormat="1" applyFont="1" applyFill="1" applyBorder="1" applyAlignment="1" applyProtection="1">
      <alignment horizontal="center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1" xfId="0" applyFont="1" applyBorder="1" applyAlignment="1" applyProtection="1">
      <alignment/>
      <protection locked="0"/>
    </xf>
    <xf numFmtId="49" fontId="3" fillId="2" borderId="18" xfId="0" applyNumberFormat="1" applyFont="1" applyFill="1" applyBorder="1" applyAlignment="1" applyProtection="1">
      <alignment horizontal="center"/>
      <protection locked="0"/>
    </xf>
    <xf numFmtId="49" fontId="3" fillId="2" borderId="19" xfId="0" applyNumberFormat="1" applyFont="1" applyFill="1" applyBorder="1" applyAlignment="1" applyProtection="1">
      <alignment horizontal="center"/>
      <protection locked="0"/>
    </xf>
    <xf numFmtId="165" fontId="4" fillId="2" borderId="20" xfId="0" applyNumberFormat="1" applyFont="1" applyFill="1" applyBorder="1" applyAlignment="1" applyProtection="1">
      <alignment horizontal="right"/>
      <protection locked="0"/>
    </xf>
    <xf numFmtId="49" fontId="3" fillId="2" borderId="21" xfId="0" applyNumberFormat="1" applyFont="1" applyFill="1" applyBorder="1" applyAlignment="1" applyProtection="1">
      <alignment horizontal="center"/>
      <protection locked="0"/>
    </xf>
    <xf numFmtId="165" fontId="1" fillId="2" borderId="22" xfId="0" applyNumberFormat="1" applyFont="1" applyFill="1" applyBorder="1" applyAlignment="1" applyProtection="1">
      <alignment vertical="center"/>
      <protection locked="0"/>
    </xf>
    <xf numFmtId="165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49" fontId="1" fillId="2" borderId="9" xfId="0" applyNumberFormat="1" applyFont="1" applyFill="1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horizontal="left"/>
      <protection locked="0"/>
    </xf>
    <xf numFmtId="164" fontId="1" fillId="4" borderId="8" xfId="0" applyNumberFormat="1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49" fontId="3" fillId="2" borderId="24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49" fontId="3" fillId="2" borderId="9" xfId="0" applyNumberFormat="1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vertical="center"/>
      <protection locked="0"/>
    </xf>
    <xf numFmtId="49" fontId="1" fillId="2" borderId="10" xfId="0" applyNumberFormat="1" applyFont="1" applyFill="1" applyBorder="1" applyAlignment="1" applyProtection="1">
      <alignment vertical="center"/>
      <protection locked="0"/>
    </xf>
    <xf numFmtId="164" fontId="4" fillId="2" borderId="25" xfId="0" applyNumberFormat="1" applyFont="1" applyFill="1" applyBorder="1" applyAlignment="1" applyProtection="1">
      <alignment vertical="center"/>
      <protection locked="0"/>
    </xf>
    <xf numFmtId="165" fontId="1" fillId="2" borderId="26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/>
    </xf>
    <xf numFmtId="49" fontId="4" fillId="2" borderId="9" xfId="0" applyNumberFormat="1" applyFont="1" applyFill="1" applyBorder="1" applyAlignment="1" applyProtection="1">
      <alignment vertical="center"/>
      <protection locked="0"/>
    </xf>
    <xf numFmtId="165" fontId="1" fillId="2" borderId="27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165" fontId="1" fillId="2" borderId="29" xfId="0" applyNumberFormat="1" applyFont="1" applyFill="1" applyBorder="1" applyAlignment="1" applyProtection="1">
      <alignment vertical="center"/>
      <protection locked="0"/>
    </xf>
    <xf numFmtId="165" fontId="1" fillId="2" borderId="30" xfId="0" applyNumberFormat="1" applyFont="1" applyFill="1" applyBorder="1" applyAlignment="1" applyProtection="1">
      <alignment horizontal="right"/>
      <protection locked="0"/>
    </xf>
    <xf numFmtId="165" fontId="4" fillId="2" borderId="26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165" fontId="4" fillId="2" borderId="27" xfId="0" applyNumberFormat="1" applyFont="1" applyFill="1" applyBorder="1" applyAlignment="1" applyProtection="1">
      <alignment horizontal="right"/>
      <protection locked="0"/>
    </xf>
    <xf numFmtId="165" fontId="1" fillId="2" borderId="0" xfId="0" applyNumberFormat="1" applyFont="1" applyFill="1" applyBorder="1" applyAlignment="1" applyProtection="1">
      <alignment horizontal="right"/>
      <protection/>
    </xf>
    <xf numFmtId="165" fontId="1" fillId="2" borderId="0" xfId="0" applyNumberFormat="1" applyFont="1" applyFill="1" applyBorder="1" applyAlignment="1" applyProtection="1">
      <alignment/>
      <protection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164" fontId="1" fillId="2" borderId="8" xfId="0" applyNumberFormat="1" applyFont="1" applyFill="1" applyBorder="1" applyAlignment="1" applyProtection="1">
      <alignment vertical="center"/>
      <protection locked="0"/>
    </xf>
    <xf numFmtId="164" fontId="1" fillId="2" borderId="7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49" fontId="5" fillId="2" borderId="9" xfId="0" applyNumberFormat="1" applyFont="1" applyFill="1" applyBorder="1" applyAlignment="1" applyProtection="1">
      <alignment vertical="center"/>
      <protection locked="0"/>
    </xf>
    <xf numFmtId="165" fontId="3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right"/>
      <protection locked="0"/>
    </xf>
    <xf numFmtId="49" fontId="8" fillId="3" borderId="0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0" fillId="3" borderId="0" xfId="0" applyFill="1" applyAlignment="1">
      <alignment horizontal="left"/>
    </xf>
    <xf numFmtId="0" fontId="1" fillId="3" borderId="3" xfId="0" applyFont="1" applyFill="1" applyBorder="1" applyAlignment="1" applyProtection="1">
      <alignment/>
      <protection locked="0"/>
    </xf>
    <xf numFmtId="0" fontId="1" fillId="3" borderId="5" xfId="0" applyFont="1" applyFill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 applyProtection="1">
      <alignment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49" fontId="3" fillId="3" borderId="6" xfId="0" applyNumberFormat="1" applyFont="1" applyFill="1" applyBorder="1" applyAlignment="1" applyProtection="1">
      <alignment horizontal="right" vertical="center"/>
      <protection locked="0"/>
    </xf>
    <xf numFmtId="164" fontId="5" fillId="4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32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 applyProtection="1">
      <alignment horizontal="right" vertical="center"/>
      <protection locked="0"/>
    </xf>
    <xf numFmtId="0" fontId="1" fillId="3" borderId="25" xfId="0" applyFont="1" applyFill="1" applyBorder="1" applyAlignment="1" applyProtection="1">
      <alignment vertical="center"/>
      <protection locked="0"/>
    </xf>
    <xf numFmtId="0" fontId="3" fillId="3" borderId="33" xfId="0" applyFont="1" applyFill="1" applyBorder="1" applyAlignment="1" applyProtection="1">
      <alignment vertical="center"/>
      <protection locked="0"/>
    </xf>
    <xf numFmtId="164" fontId="1" fillId="2" borderId="33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164" fontId="3" fillId="2" borderId="14" xfId="0" applyNumberFormat="1" applyFont="1" applyFill="1" applyBorder="1" applyAlignment="1" applyProtection="1">
      <alignment vertical="center"/>
      <protection locked="0"/>
    </xf>
    <xf numFmtId="173" fontId="1" fillId="2" borderId="7" xfId="0" applyNumberFormat="1" applyFont="1" applyFill="1" applyBorder="1" applyAlignment="1" applyProtection="1">
      <alignment vertical="center"/>
      <protection locked="0"/>
    </xf>
    <xf numFmtId="173" fontId="3" fillId="4" borderId="34" xfId="0" applyNumberFormat="1" applyFont="1" applyFill="1" applyBorder="1" applyAlignment="1" applyProtection="1">
      <alignment vertical="center"/>
      <protection locked="0"/>
    </xf>
    <xf numFmtId="173" fontId="3" fillId="4" borderId="35" xfId="0" applyNumberFormat="1" applyFont="1" applyFill="1" applyBorder="1" applyAlignment="1" applyProtection="1">
      <alignment vertical="center"/>
      <protection locked="0"/>
    </xf>
    <xf numFmtId="173" fontId="3" fillId="4" borderId="36" xfId="0" applyNumberFormat="1" applyFont="1" applyFill="1" applyBorder="1" applyAlignment="1" applyProtection="1">
      <alignment vertical="center"/>
      <protection locked="0"/>
    </xf>
    <xf numFmtId="173" fontId="3" fillId="4" borderId="37" xfId="0" applyNumberFormat="1" applyFont="1" applyFill="1" applyBorder="1" applyAlignment="1" applyProtection="1">
      <alignment vertical="center"/>
      <protection locked="0"/>
    </xf>
    <xf numFmtId="173" fontId="3" fillId="4" borderId="8" xfId="0" applyNumberFormat="1" applyFont="1" applyFill="1" applyBorder="1" applyAlignment="1" applyProtection="1">
      <alignment vertical="center"/>
      <protection locked="0"/>
    </xf>
    <xf numFmtId="173" fontId="1" fillId="3" borderId="38" xfId="0" applyNumberFormat="1" applyFont="1" applyFill="1" applyBorder="1" applyAlignment="1" applyProtection="1">
      <alignment vertical="center"/>
      <protection locked="0"/>
    </xf>
    <xf numFmtId="173" fontId="1" fillId="3" borderId="39" xfId="0" applyNumberFormat="1" applyFont="1" applyFill="1" applyBorder="1" applyAlignment="1" applyProtection="1">
      <alignment vertical="center"/>
      <protection locked="0"/>
    </xf>
    <xf numFmtId="173" fontId="1" fillId="3" borderId="40" xfId="0" applyNumberFormat="1" applyFont="1" applyFill="1" applyBorder="1" applyAlignment="1" applyProtection="1">
      <alignment vertical="center"/>
      <protection locked="0"/>
    </xf>
    <xf numFmtId="173" fontId="1" fillId="3" borderId="41" xfId="0" applyNumberFormat="1" applyFont="1" applyFill="1" applyBorder="1" applyAlignment="1" applyProtection="1">
      <alignment vertical="center"/>
      <protection locked="0"/>
    </xf>
    <xf numFmtId="173" fontId="1" fillId="3" borderId="42" xfId="0" applyNumberFormat="1" applyFont="1" applyFill="1" applyBorder="1" applyAlignment="1" applyProtection="1">
      <alignment vertical="center"/>
      <protection locked="0"/>
    </xf>
    <xf numFmtId="173" fontId="1" fillId="3" borderId="0" xfId="0" applyNumberFormat="1" applyFont="1" applyFill="1" applyBorder="1" applyAlignment="1" applyProtection="1">
      <alignment vertical="center"/>
      <protection locked="0"/>
    </xf>
    <xf numFmtId="173" fontId="1" fillId="3" borderId="43" xfId="0" applyNumberFormat="1" applyFont="1" applyFill="1" applyBorder="1" applyAlignment="1" applyProtection="1">
      <alignment vertical="center"/>
      <protection locked="0"/>
    </xf>
    <xf numFmtId="173" fontId="1" fillId="3" borderId="23" xfId="0" applyNumberFormat="1" applyFont="1" applyFill="1" applyBorder="1" applyAlignment="1" applyProtection="1">
      <alignment vertical="center"/>
      <protection locked="0"/>
    </xf>
    <xf numFmtId="173" fontId="1" fillId="3" borderId="29" xfId="0" applyNumberFormat="1" applyFont="1" applyFill="1" applyBorder="1" applyAlignment="1" applyProtection="1">
      <alignment vertical="center"/>
      <protection locked="0"/>
    </xf>
    <xf numFmtId="173" fontId="1" fillId="2" borderId="9" xfId="0" applyNumberFormat="1" applyFont="1" applyFill="1" applyBorder="1" applyAlignment="1" applyProtection="1">
      <alignment vertical="center"/>
      <protection locked="0"/>
    </xf>
    <xf numFmtId="173" fontId="1" fillId="2" borderId="44" xfId="0" applyNumberFormat="1" applyFont="1" applyFill="1" applyBorder="1" applyAlignment="1" applyProtection="1">
      <alignment vertical="center"/>
      <protection locked="0"/>
    </xf>
    <xf numFmtId="173" fontId="1" fillId="2" borderId="43" xfId="0" applyNumberFormat="1" applyFont="1" applyFill="1" applyBorder="1" applyAlignment="1" applyProtection="1">
      <alignment vertical="center"/>
      <protection locked="0"/>
    </xf>
    <xf numFmtId="173" fontId="1" fillId="2" borderId="45" xfId="0" applyNumberFormat="1" applyFont="1" applyFill="1" applyBorder="1" applyAlignment="1" applyProtection="1">
      <alignment vertical="center"/>
      <protection locked="0"/>
    </xf>
    <xf numFmtId="173" fontId="1" fillId="2" borderId="46" xfId="0" applyNumberFormat="1" applyFont="1" applyFill="1" applyBorder="1" applyAlignment="1" applyProtection="1">
      <alignment vertical="center"/>
      <protection locked="0"/>
    </xf>
    <xf numFmtId="173" fontId="3" fillId="2" borderId="9" xfId="0" applyNumberFormat="1" applyFont="1" applyFill="1" applyBorder="1" applyAlignment="1" applyProtection="1">
      <alignment vertical="center"/>
      <protection locked="0"/>
    </xf>
    <xf numFmtId="173" fontId="3" fillId="2" borderId="44" xfId="0" applyNumberFormat="1" applyFont="1" applyFill="1" applyBorder="1" applyAlignment="1" applyProtection="1">
      <alignment vertical="center"/>
      <protection locked="0"/>
    </xf>
    <xf numFmtId="173" fontId="3" fillId="2" borderId="43" xfId="0" applyNumberFormat="1" applyFont="1" applyFill="1" applyBorder="1" applyAlignment="1" applyProtection="1">
      <alignment vertical="center"/>
      <protection locked="0"/>
    </xf>
    <xf numFmtId="173" fontId="3" fillId="2" borderId="45" xfId="0" applyNumberFormat="1" applyFont="1" applyFill="1" applyBorder="1" applyAlignment="1" applyProtection="1">
      <alignment vertical="center"/>
      <protection locked="0"/>
    </xf>
    <xf numFmtId="173" fontId="3" fillId="2" borderId="46" xfId="0" applyNumberFormat="1" applyFont="1" applyFill="1" applyBorder="1" applyAlignment="1" applyProtection="1">
      <alignment vertical="center"/>
      <protection locked="0"/>
    </xf>
    <xf numFmtId="173" fontId="1" fillId="2" borderId="10" xfId="0" applyNumberFormat="1" applyFont="1" applyFill="1" applyBorder="1" applyAlignment="1" applyProtection="1">
      <alignment vertical="center"/>
      <protection locked="0"/>
    </xf>
    <xf numFmtId="173" fontId="1" fillId="2" borderId="30" xfId="0" applyNumberFormat="1" applyFont="1" applyFill="1" applyBorder="1" applyAlignment="1" applyProtection="1">
      <alignment vertical="center"/>
      <protection locked="0"/>
    </xf>
    <xf numFmtId="173" fontId="1" fillId="2" borderId="20" xfId="0" applyNumberFormat="1" applyFont="1" applyFill="1" applyBorder="1" applyAlignment="1" applyProtection="1">
      <alignment vertical="center"/>
      <protection locked="0"/>
    </xf>
    <xf numFmtId="173" fontId="1" fillId="2" borderId="47" xfId="0" applyNumberFormat="1" applyFont="1" applyFill="1" applyBorder="1" applyAlignment="1" applyProtection="1">
      <alignment vertical="center"/>
      <protection locked="0"/>
    </xf>
    <xf numFmtId="173" fontId="1" fillId="2" borderId="48" xfId="0" applyNumberFormat="1" applyFont="1" applyFill="1" applyBorder="1" applyAlignment="1" applyProtection="1">
      <alignment vertical="center"/>
      <protection locked="0"/>
    </xf>
    <xf numFmtId="173" fontId="1" fillId="2" borderId="14" xfId="0" applyNumberFormat="1" applyFont="1" applyFill="1" applyBorder="1" applyAlignment="1" applyProtection="1">
      <alignment vertical="center"/>
      <protection locked="0"/>
    </xf>
    <xf numFmtId="173" fontId="1" fillId="2" borderId="49" xfId="0" applyNumberFormat="1" applyFont="1" applyFill="1" applyBorder="1" applyAlignment="1" applyProtection="1">
      <alignment vertical="center"/>
      <protection locked="0"/>
    </xf>
    <xf numFmtId="173" fontId="1" fillId="2" borderId="50" xfId="0" applyNumberFormat="1" applyFont="1" applyFill="1" applyBorder="1" applyAlignment="1" applyProtection="1">
      <alignment vertical="center"/>
      <protection locked="0"/>
    </xf>
    <xf numFmtId="173" fontId="1" fillId="2" borderId="51" xfId="0" applyNumberFormat="1" applyFont="1" applyFill="1" applyBorder="1" applyAlignment="1" applyProtection="1">
      <alignment vertical="center"/>
      <protection locked="0"/>
    </xf>
    <xf numFmtId="173" fontId="1" fillId="2" borderId="52" xfId="0" applyNumberFormat="1" applyFont="1" applyFill="1" applyBorder="1" applyAlignment="1" applyProtection="1">
      <alignment vertical="center"/>
      <protection locked="0"/>
    </xf>
    <xf numFmtId="173" fontId="3" fillId="2" borderId="6" xfId="0" applyNumberFormat="1" applyFont="1" applyFill="1" applyBorder="1" applyAlignment="1" applyProtection="1">
      <alignment vertical="center"/>
      <protection locked="0"/>
    </xf>
    <xf numFmtId="173" fontId="3" fillId="2" borderId="22" xfId="0" applyNumberFormat="1" applyFont="1" applyFill="1" applyBorder="1" applyAlignment="1" applyProtection="1">
      <alignment vertical="center"/>
      <protection locked="0"/>
    </xf>
    <xf numFmtId="173" fontId="3" fillId="2" borderId="29" xfId="0" applyNumberFormat="1" applyFont="1" applyFill="1" applyBorder="1" applyAlignment="1" applyProtection="1">
      <alignment vertical="center"/>
      <protection locked="0"/>
    </xf>
    <xf numFmtId="173" fontId="3" fillId="2" borderId="23" xfId="0" applyNumberFormat="1" applyFont="1" applyFill="1" applyBorder="1" applyAlignment="1" applyProtection="1">
      <alignment vertical="center"/>
      <protection locked="0"/>
    </xf>
    <xf numFmtId="173" fontId="3" fillId="2" borderId="0" xfId="0" applyNumberFormat="1" applyFont="1" applyFill="1" applyBorder="1" applyAlignment="1" applyProtection="1">
      <alignment vertical="center"/>
      <protection locked="0"/>
    </xf>
    <xf numFmtId="173" fontId="1" fillId="2" borderId="6" xfId="0" applyNumberFormat="1" applyFont="1" applyFill="1" applyBorder="1" applyAlignment="1" applyProtection="1">
      <alignment vertical="center"/>
      <protection locked="0"/>
    </xf>
    <xf numFmtId="173" fontId="1" fillId="2" borderId="5" xfId="0" applyNumberFormat="1" applyFont="1" applyFill="1" applyBorder="1" applyAlignment="1" applyProtection="1">
      <alignment vertical="center"/>
      <protection locked="0"/>
    </xf>
    <xf numFmtId="173" fontId="1" fillId="2" borderId="53" xfId="0" applyNumberFormat="1" applyFont="1" applyFill="1" applyBorder="1" applyAlignment="1" applyProtection="1">
      <alignment vertical="center"/>
      <protection locked="0"/>
    </xf>
    <xf numFmtId="173" fontId="1" fillId="2" borderId="54" xfId="0" applyNumberFormat="1" applyFont="1" applyFill="1" applyBorder="1" applyAlignment="1" applyProtection="1">
      <alignment vertical="center"/>
      <protection locked="0"/>
    </xf>
    <xf numFmtId="173" fontId="1" fillId="2" borderId="55" xfId="0" applyNumberFormat="1" applyFont="1" applyFill="1" applyBorder="1" applyAlignment="1" applyProtection="1">
      <alignment vertical="center"/>
      <protection locked="0"/>
    </xf>
    <xf numFmtId="173" fontId="1" fillId="2" borderId="2" xfId="0" applyNumberFormat="1" applyFont="1" applyFill="1" applyBorder="1" applyAlignment="1" applyProtection="1">
      <alignment vertical="center"/>
      <protection locked="0"/>
    </xf>
    <xf numFmtId="173" fontId="1" fillId="3" borderId="31" xfId="0" applyNumberFormat="1" applyFont="1" applyFill="1" applyBorder="1" applyAlignment="1" applyProtection="1">
      <alignment vertical="center"/>
      <protection locked="0"/>
    </xf>
    <xf numFmtId="173" fontId="1" fillId="3" borderId="56" xfId="0" applyNumberFormat="1" applyFont="1" applyFill="1" applyBorder="1" applyAlignment="1" applyProtection="1">
      <alignment vertical="center"/>
      <protection locked="0"/>
    </xf>
    <xf numFmtId="173" fontId="1" fillId="3" borderId="57" xfId="0" applyNumberFormat="1" applyFont="1" applyFill="1" applyBorder="1" applyAlignment="1" applyProtection="1">
      <alignment vertical="center"/>
      <protection locked="0"/>
    </xf>
    <xf numFmtId="173" fontId="1" fillId="3" borderId="58" xfId="0" applyNumberFormat="1" applyFont="1" applyFill="1" applyBorder="1" applyAlignment="1" applyProtection="1">
      <alignment vertical="center"/>
      <protection locked="0"/>
    </xf>
    <xf numFmtId="173" fontId="1" fillId="3" borderId="59" xfId="0" applyNumberFormat="1" applyFont="1" applyFill="1" applyBorder="1" applyAlignment="1" applyProtection="1">
      <alignment vertical="center"/>
      <protection locked="0"/>
    </xf>
    <xf numFmtId="173" fontId="4" fillId="2" borderId="34" xfId="0" applyNumberFormat="1" applyFont="1" applyFill="1" applyBorder="1" applyAlignment="1" applyProtection="1">
      <alignment vertical="center"/>
      <protection locked="0"/>
    </xf>
    <xf numFmtId="173" fontId="4" fillId="2" borderId="34" xfId="0" applyNumberFormat="1" applyFont="1" applyFill="1" applyBorder="1" applyAlignment="1" applyProtection="1">
      <alignment vertical="center"/>
      <protection locked="0"/>
    </xf>
    <xf numFmtId="173" fontId="4" fillId="2" borderId="35" xfId="0" applyNumberFormat="1" applyFont="1" applyFill="1" applyBorder="1" applyAlignment="1" applyProtection="1">
      <alignment vertical="center"/>
      <protection locked="0"/>
    </xf>
    <xf numFmtId="173" fontId="4" fillId="2" borderId="36" xfId="0" applyNumberFormat="1" applyFont="1" applyFill="1" applyBorder="1" applyAlignment="1" applyProtection="1">
      <alignment vertical="center"/>
      <protection locked="0"/>
    </xf>
    <xf numFmtId="173" fontId="4" fillId="2" borderId="37" xfId="0" applyNumberFormat="1" applyFont="1" applyFill="1" applyBorder="1" applyAlignment="1" applyProtection="1">
      <alignment vertical="center"/>
      <protection locked="0"/>
    </xf>
    <xf numFmtId="173" fontId="4" fillId="2" borderId="60" xfId="0" applyNumberFormat="1" applyFont="1" applyFill="1" applyBorder="1" applyAlignment="1" applyProtection="1">
      <alignment vertical="center"/>
      <protection locked="0"/>
    </xf>
    <xf numFmtId="173" fontId="4" fillId="2" borderId="7" xfId="0" applyNumberFormat="1" applyFont="1" applyFill="1" applyBorder="1" applyAlignment="1" applyProtection="1">
      <alignment vertical="center"/>
      <protection locked="0"/>
    </xf>
    <xf numFmtId="173" fontId="4" fillId="2" borderId="61" xfId="0" applyNumberFormat="1" applyFont="1" applyFill="1" applyBorder="1" applyAlignment="1" applyProtection="1">
      <alignment vertical="center"/>
      <protection locked="0"/>
    </xf>
    <xf numFmtId="173" fontId="4" fillId="2" borderId="22" xfId="0" applyNumberFormat="1" applyFont="1" applyFill="1" applyBorder="1" applyAlignment="1" applyProtection="1">
      <alignment vertical="center"/>
      <protection locked="0"/>
    </xf>
    <xf numFmtId="173" fontId="4" fillId="2" borderId="29" xfId="0" applyNumberFormat="1" applyFont="1" applyFill="1" applyBorder="1" applyAlignment="1" applyProtection="1">
      <alignment vertical="center"/>
      <protection locked="0"/>
    </xf>
    <xf numFmtId="173" fontId="4" fillId="2" borderId="23" xfId="0" applyNumberFormat="1" applyFont="1" applyFill="1" applyBorder="1" applyAlignment="1" applyProtection="1">
      <alignment vertical="center"/>
      <protection locked="0"/>
    </xf>
    <xf numFmtId="173" fontId="4" fillId="2" borderId="0" xfId="0" applyNumberFormat="1" applyFont="1" applyFill="1" applyBorder="1" applyAlignment="1" applyProtection="1">
      <alignment vertical="center"/>
      <protection locked="0"/>
    </xf>
    <xf numFmtId="173" fontId="4" fillId="2" borderId="6" xfId="0" applyNumberFormat="1" applyFont="1" applyFill="1" applyBorder="1" applyAlignment="1" applyProtection="1">
      <alignment vertical="center"/>
      <protection locked="0"/>
    </xf>
    <xf numFmtId="173" fontId="3" fillId="2" borderId="4" xfId="0" applyNumberFormat="1" applyFont="1" applyFill="1" applyBorder="1" applyAlignment="1" applyProtection="1">
      <alignment vertical="center"/>
      <protection locked="0"/>
    </xf>
    <xf numFmtId="173" fontId="3" fillId="2" borderId="15" xfId="0" applyNumberFormat="1" applyFont="1" applyFill="1" applyBorder="1" applyAlignment="1" applyProtection="1">
      <alignment vertical="center"/>
      <protection locked="0"/>
    </xf>
    <xf numFmtId="173" fontId="3" fillId="2" borderId="16" xfId="0" applyNumberFormat="1" applyFont="1" applyFill="1" applyBorder="1" applyAlignment="1" applyProtection="1">
      <alignment vertical="center"/>
      <protection locked="0"/>
    </xf>
    <xf numFmtId="173" fontId="3" fillId="2" borderId="19" xfId="0" applyNumberFormat="1" applyFont="1" applyFill="1" applyBorder="1" applyAlignment="1" applyProtection="1">
      <alignment vertical="center"/>
      <protection locked="0"/>
    </xf>
    <xf numFmtId="173" fontId="3" fillId="2" borderId="24" xfId="0" applyNumberFormat="1" applyFont="1" applyFill="1" applyBorder="1" applyAlignment="1" applyProtection="1">
      <alignment vertical="center"/>
      <protection locked="0"/>
    </xf>
    <xf numFmtId="173" fontId="3" fillId="2" borderId="18" xfId="0" applyNumberFormat="1" applyFont="1" applyFill="1" applyBorder="1" applyAlignment="1" applyProtection="1">
      <alignment vertical="center"/>
      <protection locked="0"/>
    </xf>
    <xf numFmtId="173" fontId="3" fillId="5" borderId="4" xfId="0" applyNumberFormat="1" applyFont="1" applyFill="1" applyBorder="1" applyAlignment="1" applyProtection="1">
      <alignment vertical="center"/>
      <protection locked="0"/>
    </xf>
    <xf numFmtId="173" fontId="5" fillId="2" borderId="8" xfId="0" applyNumberFormat="1" applyFont="1" applyFill="1" applyBorder="1" applyAlignment="1" applyProtection="1">
      <alignment vertical="center"/>
      <protection locked="0"/>
    </xf>
    <xf numFmtId="173" fontId="3" fillId="2" borderId="38" xfId="0" applyNumberFormat="1" applyFont="1" applyFill="1" applyBorder="1" applyAlignment="1" applyProtection="1">
      <alignment vertical="center"/>
      <protection locked="0"/>
    </xf>
    <xf numFmtId="173" fontId="3" fillId="2" borderId="39" xfId="0" applyNumberFormat="1" applyFont="1" applyFill="1" applyBorder="1" applyAlignment="1" applyProtection="1">
      <alignment vertical="center"/>
      <protection locked="0"/>
    </xf>
    <xf numFmtId="173" fontId="3" fillId="2" borderId="62" xfId="0" applyNumberFormat="1" applyFont="1" applyFill="1" applyBorder="1" applyAlignment="1" applyProtection="1">
      <alignment vertical="center"/>
      <protection locked="0"/>
    </xf>
    <xf numFmtId="173" fontId="3" fillId="2" borderId="63" xfId="0" applyNumberFormat="1" applyFont="1" applyFill="1" applyBorder="1" applyAlignment="1" applyProtection="1">
      <alignment vertical="center"/>
      <protection locked="0"/>
    </xf>
    <xf numFmtId="173" fontId="3" fillId="5" borderId="9" xfId="0" applyNumberFormat="1" applyFont="1" applyFill="1" applyBorder="1" applyAlignment="1" applyProtection="1">
      <alignment vertical="center"/>
      <protection locked="0"/>
    </xf>
    <xf numFmtId="173" fontId="4" fillId="2" borderId="64" xfId="0" applyNumberFormat="1" applyFont="1" applyFill="1" applyBorder="1" applyAlignment="1" applyProtection="1">
      <alignment vertical="center"/>
      <protection locked="0"/>
    </xf>
    <xf numFmtId="173" fontId="4" fillId="2" borderId="44" xfId="0" applyNumberFormat="1" applyFont="1" applyFill="1" applyBorder="1" applyAlignment="1" applyProtection="1">
      <alignment vertical="center"/>
      <protection locked="0"/>
    </xf>
    <xf numFmtId="173" fontId="4" fillId="2" borderId="43" xfId="0" applyNumberFormat="1" applyFont="1" applyFill="1" applyBorder="1" applyAlignment="1" applyProtection="1">
      <alignment vertical="center"/>
      <protection locked="0"/>
    </xf>
    <xf numFmtId="173" fontId="4" fillId="2" borderId="45" xfId="0" applyNumberFormat="1" applyFont="1" applyFill="1" applyBorder="1" applyAlignment="1" applyProtection="1">
      <alignment vertical="center"/>
      <protection locked="0"/>
    </xf>
    <xf numFmtId="173" fontId="4" fillId="2" borderId="46" xfId="0" applyNumberFormat="1" applyFont="1" applyFill="1" applyBorder="1" applyAlignment="1" applyProtection="1">
      <alignment vertical="center"/>
      <protection locked="0"/>
    </xf>
    <xf numFmtId="173" fontId="4" fillId="2" borderId="9" xfId="0" applyNumberFormat="1" applyFont="1" applyFill="1" applyBorder="1" applyAlignment="1" applyProtection="1">
      <alignment vertical="center"/>
      <protection locked="0"/>
    </xf>
    <xf numFmtId="173" fontId="4" fillId="2" borderId="65" xfId="0" applyNumberFormat="1" applyFont="1" applyFill="1" applyBorder="1" applyAlignment="1" applyProtection="1">
      <alignment vertical="center"/>
      <protection locked="0"/>
    </xf>
    <xf numFmtId="173" fontId="5" fillId="2" borderId="6" xfId="0" applyNumberFormat="1" applyFont="1" applyFill="1" applyBorder="1" applyAlignment="1" applyProtection="1">
      <alignment vertical="center"/>
      <protection locked="0"/>
    </xf>
    <xf numFmtId="173" fontId="1" fillId="2" borderId="43" xfId="0" applyNumberFormat="1" applyFont="1" applyFill="1" applyBorder="1" applyAlignment="1" applyProtection="1">
      <alignment horizontal="center" vertical="center"/>
      <protection locked="0"/>
    </xf>
    <xf numFmtId="173" fontId="1" fillId="2" borderId="23" xfId="0" applyNumberFormat="1" applyFont="1" applyFill="1" applyBorder="1" applyAlignment="1" applyProtection="1">
      <alignment horizontal="center" vertical="center"/>
      <protection locked="0"/>
    </xf>
    <xf numFmtId="173" fontId="1" fillId="2" borderId="23" xfId="0" applyNumberFormat="1" applyFont="1" applyFill="1" applyBorder="1" applyAlignment="1" applyProtection="1">
      <alignment horizontal="center" vertical="center"/>
      <protection locked="0"/>
    </xf>
    <xf numFmtId="173" fontId="1" fillId="2" borderId="29" xfId="0" applyNumberFormat="1" applyFont="1" applyFill="1" applyBorder="1" applyAlignment="1" applyProtection="1">
      <alignment horizontal="center" vertical="center"/>
      <protection locked="0"/>
    </xf>
    <xf numFmtId="173" fontId="1" fillId="2" borderId="0" xfId="0" applyNumberFormat="1" applyFont="1" applyFill="1" applyBorder="1" applyAlignment="1" applyProtection="1">
      <alignment horizontal="center" vertical="center"/>
      <protection locked="0"/>
    </xf>
    <xf numFmtId="173" fontId="1" fillId="2" borderId="6" xfId="0" applyNumberFormat="1" applyFont="1" applyFill="1" applyBorder="1" applyAlignment="1" applyProtection="1">
      <alignment vertical="center"/>
      <protection locked="0"/>
    </xf>
    <xf numFmtId="173" fontId="3" fillId="2" borderId="9" xfId="0" applyNumberFormat="1" applyFont="1" applyFill="1" applyBorder="1" applyAlignment="1" applyProtection="1">
      <alignment vertical="center"/>
      <protection locked="0"/>
    </xf>
    <xf numFmtId="173" fontId="3" fillId="2" borderId="10" xfId="0" applyNumberFormat="1" applyFont="1" applyFill="1" applyBorder="1" applyAlignment="1" applyProtection="1">
      <alignment vertical="center"/>
      <protection locked="0"/>
    </xf>
    <xf numFmtId="173" fontId="3" fillId="4" borderId="44" xfId="0" applyNumberFormat="1" applyFont="1" applyFill="1" applyBorder="1" applyAlignment="1" applyProtection="1">
      <alignment vertical="center"/>
      <protection locked="0"/>
    </xf>
    <xf numFmtId="173" fontId="3" fillId="4" borderId="43" xfId="0" applyNumberFormat="1" applyFont="1" applyFill="1" applyBorder="1" applyAlignment="1" applyProtection="1">
      <alignment vertical="center"/>
      <protection locked="0"/>
    </xf>
    <xf numFmtId="173" fontId="3" fillId="4" borderId="45" xfId="0" applyNumberFormat="1" applyFont="1" applyFill="1" applyBorder="1" applyAlignment="1" applyProtection="1">
      <alignment vertical="center"/>
      <protection locked="0"/>
    </xf>
    <xf numFmtId="173" fontId="3" fillId="4" borderId="46" xfId="0" applyNumberFormat="1" applyFont="1" applyFill="1" applyBorder="1" applyAlignment="1" applyProtection="1">
      <alignment vertical="center"/>
      <protection locked="0"/>
    </xf>
    <xf numFmtId="173" fontId="3" fillId="4" borderId="9" xfId="0" applyNumberFormat="1" applyFont="1" applyFill="1" applyBorder="1" applyAlignment="1" applyProtection="1">
      <alignment vertical="center"/>
      <protection locked="0"/>
    </xf>
    <xf numFmtId="173" fontId="1" fillId="5" borderId="9" xfId="0" applyNumberFormat="1" applyFont="1" applyFill="1" applyBorder="1" applyAlignment="1" applyProtection="1">
      <alignment vertical="center"/>
      <protection locked="0"/>
    </xf>
    <xf numFmtId="173" fontId="3" fillId="2" borderId="10" xfId="0" applyNumberFormat="1" applyFont="1" applyFill="1" applyBorder="1" applyAlignment="1" applyProtection="1">
      <alignment vertical="center"/>
      <protection locked="0"/>
    </xf>
    <xf numFmtId="173" fontId="1" fillId="2" borderId="9" xfId="0" applyNumberFormat="1" applyFont="1" applyFill="1" applyBorder="1" applyAlignment="1" applyProtection="1">
      <alignment vertical="center"/>
      <protection locked="0"/>
    </xf>
    <xf numFmtId="173" fontId="1" fillId="4" borderId="45" xfId="0" applyNumberFormat="1" applyFont="1" applyFill="1" applyBorder="1" applyAlignment="1" applyProtection="1">
      <alignment vertical="center"/>
      <protection locked="0"/>
    </xf>
    <xf numFmtId="173" fontId="3" fillId="4" borderId="45" xfId="0" applyNumberFormat="1" applyFont="1" applyFill="1" applyBorder="1" applyAlignment="1" applyProtection="1">
      <alignment horizontal="right" vertical="center"/>
      <protection locked="0"/>
    </xf>
    <xf numFmtId="173" fontId="3" fillId="4" borderId="43" xfId="0" applyNumberFormat="1" applyFont="1" applyFill="1" applyBorder="1" applyAlignment="1" applyProtection="1">
      <alignment horizontal="right" vertical="center"/>
      <protection locked="0"/>
    </xf>
    <xf numFmtId="173" fontId="3" fillId="4" borderId="46" xfId="0" applyNumberFormat="1" applyFont="1" applyFill="1" applyBorder="1" applyAlignment="1" applyProtection="1">
      <alignment horizontal="right" vertical="center"/>
      <protection locked="0"/>
    </xf>
    <xf numFmtId="173" fontId="4" fillId="2" borderId="9" xfId="0" applyNumberFormat="1" applyFont="1" applyFill="1" applyBorder="1" applyAlignment="1" applyProtection="1">
      <alignment vertical="center"/>
      <protection locked="0"/>
    </xf>
    <xf numFmtId="173" fontId="4" fillId="5" borderId="9" xfId="0" applyNumberFormat="1" applyFont="1" applyFill="1" applyBorder="1" applyAlignment="1" applyProtection="1">
      <alignment vertical="center"/>
      <protection locked="0"/>
    </xf>
    <xf numFmtId="173" fontId="0" fillId="3" borderId="46" xfId="0" applyNumberFormat="1" applyFill="1" applyBorder="1" applyAlignment="1">
      <alignment/>
    </xf>
    <xf numFmtId="173" fontId="0" fillId="3" borderId="45" xfId="0" applyNumberFormat="1" applyFill="1" applyBorder="1" applyAlignment="1">
      <alignment/>
    </xf>
    <xf numFmtId="173" fontId="0" fillId="3" borderId="43" xfId="0" applyNumberFormat="1" applyFill="1" applyBorder="1" applyAlignment="1">
      <alignment/>
    </xf>
    <xf numFmtId="173" fontId="3" fillId="2" borderId="8" xfId="0" applyNumberFormat="1" applyFont="1" applyFill="1" applyBorder="1" applyAlignment="1" applyProtection="1">
      <alignment vertical="center"/>
      <protection locked="0"/>
    </xf>
    <xf numFmtId="173" fontId="0" fillId="3" borderId="63" xfId="0" applyNumberFormat="1" applyFill="1" applyBorder="1" applyAlignment="1">
      <alignment/>
    </xf>
    <xf numFmtId="173" fontId="0" fillId="3" borderId="62" xfId="0" applyNumberFormat="1" applyFill="1" applyBorder="1" applyAlignment="1">
      <alignment/>
    </xf>
    <xf numFmtId="173" fontId="0" fillId="3" borderId="39" xfId="0" applyNumberFormat="1" applyFill="1" applyBorder="1" applyAlignment="1">
      <alignment/>
    </xf>
    <xf numFmtId="173" fontId="3" fillId="3" borderId="8" xfId="0" applyNumberFormat="1" applyFont="1" applyFill="1" applyBorder="1" applyAlignment="1">
      <alignment/>
    </xf>
    <xf numFmtId="173" fontId="4" fillId="2" borderId="66" xfId="0" applyNumberFormat="1" applyFont="1" applyFill="1" applyBorder="1" applyAlignment="1" applyProtection="1">
      <alignment vertical="center"/>
      <protection locked="0"/>
    </xf>
    <xf numFmtId="173" fontId="4" fillId="2" borderId="67" xfId="0" applyNumberFormat="1" applyFont="1" applyFill="1" applyBorder="1" applyAlignment="1" applyProtection="1">
      <alignment vertical="center"/>
      <protection locked="0"/>
    </xf>
    <xf numFmtId="173" fontId="4" fillId="2" borderId="48" xfId="0" applyNumberFormat="1" applyFont="1" applyFill="1" applyBorder="1" applyAlignment="1" applyProtection="1">
      <alignment vertical="center"/>
      <protection locked="0"/>
    </xf>
    <xf numFmtId="173" fontId="4" fillId="2" borderId="47" xfId="0" applyNumberFormat="1" applyFont="1" applyFill="1" applyBorder="1" applyAlignment="1" applyProtection="1">
      <alignment vertical="center"/>
      <protection locked="0"/>
    </xf>
    <xf numFmtId="173" fontId="4" fillId="2" borderId="20" xfId="0" applyNumberFormat="1" applyFont="1" applyFill="1" applyBorder="1" applyAlignment="1" applyProtection="1">
      <alignment vertical="center"/>
      <protection locked="0"/>
    </xf>
    <xf numFmtId="173" fontId="15" fillId="2" borderId="9" xfId="0" applyNumberFormat="1" applyFont="1" applyFill="1" applyBorder="1" applyAlignment="1" applyProtection="1">
      <alignment vertical="center"/>
      <protection locked="0"/>
    </xf>
    <xf numFmtId="173" fontId="1" fillId="2" borderId="44" xfId="0" applyNumberFormat="1" applyFont="1" applyFill="1" applyBorder="1" applyAlignment="1" applyProtection="1">
      <alignment vertical="center"/>
      <protection locked="0"/>
    </xf>
    <xf numFmtId="173" fontId="4" fillId="2" borderId="38" xfId="0" applyNumberFormat="1" applyFont="1" applyFill="1" applyBorder="1" applyAlignment="1" applyProtection="1">
      <alignment vertical="center"/>
      <protection locked="0"/>
    </xf>
    <xf numFmtId="173" fontId="1" fillId="2" borderId="10" xfId="0" applyNumberFormat="1" applyFont="1" applyFill="1" applyBorder="1" applyAlignment="1" applyProtection="1">
      <alignment vertical="center"/>
      <protection locked="0"/>
    </xf>
    <xf numFmtId="173" fontId="4" fillId="2" borderId="39" xfId="0" applyNumberFormat="1" applyFont="1" applyFill="1" applyBorder="1" applyAlignment="1" applyProtection="1">
      <alignment vertical="center"/>
      <protection locked="0"/>
    </xf>
    <xf numFmtId="173" fontId="4" fillId="2" borderId="62" xfId="0" applyNumberFormat="1" applyFont="1" applyFill="1" applyBorder="1" applyAlignment="1" applyProtection="1">
      <alignment vertical="center"/>
      <protection locked="0"/>
    </xf>
    <xf numFmtId="173" fontId="4" fillId="2" borderId="63" xfId="0" applyNumberFormat="1" applyFont="1" applyFill="1" applyBorder="1" applyAlignment="1" applyProtection="1">
      <alignment vertical="center"/>
      <protection locked="0"/>
    </xf>
    <xf numFmtId="173" fontId="3" fillId="2" borderId="32" xfId="0" applyNumberFormat="1" applyFont="1" applyFill="1" applyBorder="1" applyAlignment="1" applyProtection="1">
      <alignment vertical="center"/>
      <protection locked="0"/>
    </xf>
    <xf numFmtId="173" fontId="3" fillId="2" borderId="68" xfId="0" applyNumberFormat="1" applyFont="1" applyFill="1" applyBorder="1" applyAlignment="1" applyProtection="1">
      <alignment vertical="center"/>
      <protection locked="0"/>
    </xf>
    <xf numFmtId="173" fontId="3" fillId="2" borderId="69" xfId="0" applyNumberFormat="1" applyFont="1" applyFill="1" applyBorder="1" applyAlignment="1" applyProtection="1">
      <alignment vertical="center"/>
      <protection locked="0"/>
    </xf>
    <xf numFmtId="173" fontId="3" fillId="2" borderId="70" xfId="0" applyNumberFormat="1" applyFont="1" applyFill="1" applyBorder="1" applyAlignment="1" applyProtection="1">
      <alignment vertical="center"/>
      <protection locked="0"/>
    </xf>
    <xf numFmtId="173" fontId="3" fillId="2" borderId="71" xfId="0" applyNumberFormat="1" applyFont="1" applyFill="1" applyBorder="1" applyAlignment="1" applyProtection="1">
      <alignment vertical="center"/>
      <protection locked="0"/>
    </xf>
    <xf numFmtId="173" fontId="1" fillId="5" borderId="32" xfId="0" applyNumberFormat="1" applyFont="1" applyFill="1" applyBorder="1" applyAlignment="1" applyProtection="1">
      <alignment vertical="center"/>
      <protection locked="0"/>
    </xf>
    <xf numFmtId="173" fontId="3" fillId="2" borderId="7" xfId="0" applyNumberFormat="1" applyFont="1" applyFill="1" applyBorder="1" applyAlignment="1" applyProtection="1">
      <alignment vertical="center"/>
      <protection locked="0"/>
    </xf>
    <xf numFmtId="173" fontId="3" fillId="2" borderId="37" xfId="0" applyNumberFormat="1" applyFont="1" applyFill="1" applyBorder="1" applyAlignment="1" applyProtection="1">
      <alignment vertical="center"/>
      <protection locked="0"/>
    </xf>
    <xf numFmtId="173" fontId="3" fillId="2" borderId="35" xfId="0" applyNumberFormat="1" applyFont="1" applyFill="1" applyBorder="1" applyAlignment="1" applyProtection="1">
      <alignment vertical="center"/>
      <protection locked="0"/>
    </xf>
    <xf numFmtId="173" fontId="3" fillId="2" borderId="36" xfId="0" applyNumberFormat="1" applyFont="1" applyFill="1" applyBorder="1" applyAlignment="1" applyProtection="1">
      <alignment vertical="center"/>
      <protection locked="0"/>
    </xf>
    <xf numFmtId="173" fontId="1" fillId="5" borderId="7" xfId="0" applyNumberFormat="1" applyFont="1" applyFill="1" applyBorder="1" applyAlignment="1" applyProtection="1">
      <alignment vertical="center"/>
      <protection locked="0"/>
    </xf>
    <xf numFmtId="173" fontId="1" fillId="2" borderId="8" xfId="0" applyNumberFormat="1" applyFont="1" applyFill="1" applyBorder="1" applyAlignment="1" applyProtection="1">
      <alignment vertical="center"/>
      <protection locked="0"/>
    </xf>
    <xf numFmtId="173" fontId="1" fillId="2" borderId="62" xfId="0" applyNumberFormat="1" applyFont="1" applyFill="1" applyBorder="1" applyAlignment="1" applyProtection="1">
      <alignment vertical="center"/>
      <protection locked="0"/>
    </xf>
    <xf numFmtId="173" fontId="1" fillId="2" borderId="39" xfId="0" applyNumberFormat="1" applyFont="1" applyFill="1" applyBorder="1" applyAlignment="1" applyProtection="1">
      <alignment vertical="center"/>
      <protection locked="0"/>
    </xf>
    <xf numFmtId="173" fontId="1" fillId="2" borderId="63" xfId="0" applyNumberFormat="1" applyFont="1" applyFill="1" applyBorder="1" applyAlignment="1" applyProtection="1">
      <alignment vertical="center"/>
      <protection locked="0"/>
    </xf>
    <xf numFmtId="173" fontId="1" fillId="2" borderId="70" xfId="0" applyNumberFormat="1" applyFont="1" applyFill="1" applyBorder="1" applyAlignment="1" applyProtection="1">
      <alignment vertical="center"/>
      <protection locked="0"/>
    </xf>
    <xf numFmtId="173" fontId="1" fillId="2" borderId="69" xfId="0" applyNumberFormat="1" applyFont="1" applyFill="1" applyBorder="1" applyAlignment="1" applyProtection="1">
      <alignment vertical="center"/>
      <protection locked="0"/>
    </xf>
    <xf numFmtId="173" fontId="1" fillId="2" borderId="32" xfId="0" applyNumberFormat="1" applyFont="1" applyFill="1" applyBorder="1" applyAlignment="1" applyProtection="1">
      <alignment vertical="center"/>
      <protection locked="0"/>
    </xf>
    <xf numFmtId="173" fontId="4" fillId="2" borderId="25" xfId="0" applyNumberFormat="1" applyFont="1" applyFill="1" applyBorder="1" applyAlignment="1" applyProtection="1">
      <alignment vertical="center"/>
      <protection locked="0"/>
    </xf>
    <xf numFmtId="173" fontId="4" fillId="2" borderId="72" xfId="0" applyNumberFormat="1" applyFont="1" applyFill="1" applyBorder="1" applyAlignment="1" applyProtection="1">
      <alignment vertical="center"/>
      <protection locked="0"/>
    </xf>
    <xf numFmtId="173" fontId="4" fillId="2" borderId="73" xfId="0" applyNumberFormat="1" applyFont="1" applyFill="1" applyBorder="1" applyAlignment="1" applyProtection="1">
      <alignment vertical="center"/>
      <protection locked="0"/>
    </xf>
    <xf numFmtId="173" fontId="4" fillId="2" borderId="74" xfId="0" applyNumberFormat="1" applyFont="1" applyFill="1" applyBorder="1" applyAlignment="1" applyProtection="1">
      <alignment vertical="center"/>
      <protection locked="0"/>
    </xf>
    <xf numFmtId="173" fontId="4" fillId="2" borderId="75" xfId="0" applyNumberFormat="1" applyFont="1" applyFill="1" applyBorder="1" applyAlignment="1" applyProtection="1">
      <alignment vertical="center"/>
      <protection locked="0"/>
    </xf>
    <xf numFmtId="173" fontId="1" fillId="2" borderId="33" xfId="0" applyNumberFormat="1" applyFont="1" applyFill="1" applyBorder="1" applyAlignment="1" applyProtection="1">
      <alignment vertical="center"/>
      <protection locked="0"/>
    </xf>
    <xf numFmtId="173" fontId="3" fillId="2" borderId="76" xfId="0" applyNumberFormat="1" applyFont="1" applyFill="1" applyBorder="1" applyAlignment="1" applyProtection="1">
      <alignment vertical="center"/>
      <protection locked="0"/>
    </xf>
    <xf numFmtId="173" fontId="3" fillId="2" borderId="77" xfId="0" applyNumberFormat="1" applyFont="1" applyFill="1" applyBorder="1" applyAlignment="1" applyProtection="1">
      <alignment vertical="center"/>
      <protection locked="0"/>
    </xf>
    <xf numFmtId="173" fontId="1" fillId="2" borderId="78" xfId="0" applyNumberFormat="1" applyFont="1" applyFill="1" applyBorder="1" applyAlignment="1" applyProtection="1">
      <alignment vertical="center"/>
      <protection locked="0"/>
    </xf>
    <xf numFmtId="173" fontId="1" fillId="2" borderId="77" xfId="0" applyNumberFormat="1" applyFont="1" applyFill="1" applyBorder="1" applyAlignment="1" applyProtection="1">
      <alignment vertical="center"/>
      <protection locked="0"/>
    </xf>
    <xf numFmtId="173" fontId="3" fillId="2" borderId="78" xfId="0" applyNumberFormat="1" applyFont="1" applyFill="1" applyBorder="1" applyAlignment="1" applyProtection="1">
      <alignment vertical="center"/>
      <protection locked="0"/>
    </xf>
    <xf numFmtId="173" fontId="3" fillId="2" borderId="79" xfId="0" applyNumberFormat="1" applyFont="1" applyFill="1" applyBorder="1" applyAlignment="1" applyProtection="1">
      <alignment vertical="center"/>
      <protection locked="0"/>
    </xf>
    <xf numFmtId="173" fontId="3" fillId="2" borderId="33" xfId="0" applyNumberFormat="1" applyFont="1" applyFill="1" applyBorder="1" applyAlignment="1" applyProtection="1">
      <alignment vertical="center"/>
      <protection locked="0"/>
    </xf>
    <xf numFmtId="173" fontId="3" fillId="5" borderId="33" xfId="0" applyNumberFormat="1" applyFont="1" applyFill="1" applyBorder="1" applyAlignment="1" applyProtection="1">
      <alignment vertical="center"/>
      <protection locked="0"/>
    </xf>
    <xf numFmtId="173" fontId="3" fillId="2" borderId="25" xfId="0" applyNumberFormat="1" applyFont="1" applyFill="1" applyBorder="1" applyAlignment="1" applyProtection="1">
      <alignment vertical="center"/>
      <protection locked="0"/>
    </xf>
    <xf numFmtId="173" fontId="3" fillId="5" borderId="15" xfId="0" applyNumberFormat="1" applyFont="1" applyFill="1" applyBorder="1" applyAlignment="1" applyProtection="1">
      <alignment horizontal="right"/>
      <protection locked="0"/>
    </xf>
    <xf numFmtId="173" fontId="3" fillId="5" borderId="16" xfId="0" applyNumberFormat="1" applyFont="1" applyFill="1" applyBorder="1" applyAlignment="1" applyProtection="1">
      <alignment horizontal="right"/>
      <protection locked="0"/>
    </xf>
    <xf numFmtId="173" fontId="3" fillId="5" borderId="19" xfId="0" applyNumberFormat="1" applyFont="1" applyFill="1" applyBorder="1" applyAlignment="1" applyProtection="1">
      <alignment horizontal="right"/>
      <protection locked="0"/>
    </xf>
    <xf numFmtId="173" fontId="3" fillId="5" borderId="18" xfId="0" applyNumberFormat="1" applyFont="1" applyFill="1" applyBorder="1" applyAlignment="1" applyProtection="1">
      <alignment horizontal="right"/>
      <protection locked="0"/>
    </xf>
    <xf numFmtId="173" fontId="3" fillId="5" borderId="25" xfId="0" applyNumberFormat="1" applyFont="1" applyFill="1" applyBorder="1" applyAlignment="1" applyProtection="1">
      <alignment vertical="center"/>
      <protection locked="0"/>
    </xf>
    <xf numFmtId="170" fontId="1" fillId="3" borderId="0" xfId="0" applyNumberFormat="1" applyFont="1" applyFill="1" applyBorder="1" applyAlignment="1" applyProtection="1">
      <alignment/>
      <protection locked="0"/>
    </xf>
    <xf numFmtId="0" fontId="11" fillId="3" borderId="4" xfId="0" applyFont="1" applyFill="1" applyBorder="1" applyAlignment="1" applyProtection="1">
      <alignment/>
      <protection locked="0"/>
    </xf>
    <xf numFmtId="164" fontId="3" fillId="5" borderId="4" xfId="0" applyNumberFormat="1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49" fontId="3" fillId="3" borderId="9" xfId="0" applyNumberFormat="1" applyFont="1" applyFill="1" applyBorder="1" applyAlignment="1" applyProtection="1">
      <alignment horizontal="center"/>
      <protection locked="0"/>
    </xf>
    <xf numFmtId="16" fontId="3" fillId="3" borderId="9" xfId="0" applyNumberFormat="1" applyFont="1" applyFill="1" applyBorder="1" applyAlignment="1" applyProtection="1">
      <alignment horizontal="right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/>
      <protection locked="0"/>
    </xf>
    <xf numFmtId="0" fontId="0" fillId="3" borderId="14" xfId="0" applyFill="1" applyBorder="1" applyAlignment="1">
      <alignment/>
    </xf>
    <xf numFmtId="0" fontId="0" fillId="3" borderId="18" xfId="0" applyFill="1" applyBorder="1" applyAlignment="1">
      <alignment/>
    </xf>
    <xf numFmtId="49" fontId="5" fillId="3" borderId="8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16" fontId="5" fillId="3" borderId="9" xfId="0" applyNumberFormat="1" applyFont="1" applyFill="1" applyBorder="1" applyAlignment="1" applyProtection="1">
      <alignment horizontal="center"/>
      <protection locked="0"/>
    </xf>
    <xf numFmtId="49" fontId="5" fillId="4" borderId="9" xfId="0" applyNumberFormat="1" applyFont="1" applyFill="1" applyBorder="1" applyAlignment="1" applyProtection="1">
      <alignment horizontal="left"/>
      <protection locked="0"/>
    </xf>
    <xf numFmtId="49" fontId="3" fillId="4" borderId="9" xfId="0" applyNumberFormat="1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8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173" fontId="1" fillId="5" borderId="4" xfId="0" applyNumberFormat="1" applyFont="1" applyFill="1" applyBorder="1" applyAlignment="1" applyProtection="1">
      <alignment horizontal="right"/>
      <protection locked="0"/>
    </xf>
    <xf numFmtId="173" fontId="1" fillId="2" borderId="4" xfId="0" applyNumberFormat="1" applyFont="1" applyFill="1" applyBorder="1" applyAlignment="1" applyProtection="1">
      <alignment horizontal="right"/>
      <protection locked="0"/>
    </xf>
    <xf numFmtId="173" fontId="1" fillId="5" borderId="15" xfId="0" applyNumberFormat="1" applyFont="1" applyFill="1" applyBorder="1" applyAlignment="1" applyProtection="1">
      <alignment horizontal="right"/>
      <protection locked="0"/>
    </xf>
    <xf numFmtId="173" fontId="1" fillId="5" borderId="16" xfId="0" applyNumberFormat="1" applyFont="1" applyFill="1" applyBorder="1" applyAlignment="1" applyProtection="1">
      <alignment horizontal="right"/>
      <protection locked="0"/>
    </xf>
    <xf numFmtId="173" fontId="3" fillId="5" borderId="4" xfId="0" applyNumberFormat="1" applyFont="1" applyFill="1" applyBorder="1" applyAlignment="1" applyProtection="1">
      <alignment horizontal="right"/>
      <protection locked="0"/>
    </xf>
    <xf numFmtId="173" fontId="3" fillId="4" borderId="4" xfId="0" applyNumberFormat="1" applyFont="1" applyFill="1" applyBorder="1" applyAlignment="1" applyProtection="1">
      <alignment horizontal="right"/>
      <protection locked="0"/>
    </xf>
    <xf numFmtId="173" fontId="3" fillId="4" borderId="16" xfId="0" applyNumberFormat="1" applyFont="1" applyFill="1" applyBorder="1" applyAlignment="1" applyProtection="1">
      <alignment horizontal="right"/>
      <protection locked="0"/>
    </xf>
    <xf numFmtId="173" fontId="3" fillId="4" borderId="19" xfId="0" applyNumberFormat="1" applyFont="1" applyFill="1" applyBorder="1" applyAlignment="1" applyProtection="1">
      <alignment horizontal="right"/>
      <protection locked="0"/>
    </xf>
    <xf numFmtId="173" fontId="3" fillId="4" borderId="9" xfId="0" applyNumberFormat="1" applyFont="1" applyFill="1" applyBorder="1" applyAlignment="1" applyProtection="1">
      <alignment/>
      <protection locked="0"/>
    </xf>
    <xf numFmtId="173" fontId="4" fillId="2" borderId="8" xfId="0" applyNumberFormat="1" applyFont="1" applyFill="1" applyBorder="1" applyAlignment="1" applyProtection="1">
      <alignment horizontal="center"/>
      <protection locked="0"/>
    </xf>
    <xf numFmtId="173" fontId="1" fillId="5" borderId="38" xfId="0" applyNumberFormat="1" applyFont="1" applyFill="1" applyBorder="1" applyAlignment="1" applyProtection="1">
      <alignment horizontal="right"/>
      <protection locked="0"/>
    </xf>
    <xf numFmtId="173" fontId="4" fillId="2" borderId="62" xfId="0" applyNumberFormat="1" applyFont="1" applyFill="1" applyBorder="1" applyAlignment="1" applyProtection="1">
      <alignment horizontal="center"/>
      <protection locked="0"/>
    </xf>
    <xf numFmtId="173" fontId="4" fillId="2" borderId="39" xfId="0" applyNumberFormat="1" applyFont="1" applyFill="1" applyBorder="1" applyAlignment="1" applyProtection="1">
      <alignment horizontal="center"/>
      <protection locked="0"/>
    </xf>
    <xf numFmtId="173" fontId="3" fillId="4" borderId="9" xfId="0" applyNumberFormat="1" applyFont="1" applyFill="1" applyBorder="1" applyAlignment="1" applyProtection="1">
      <alignment horizontal="right"/>
      <protection locked="0"/>
    </xf>
    <xf numFmtId="173" fontId="1" fillId="5" borderId="44" xfId="0" applyNumberFormat="1" applyFont="1" applyFill="1" applyBorder="1" applyAlignment="1" applyProtection="1">
      <alignment horizontal="right"/>
      <protection locked="0"/>
    </xf>
    <xf numFmtId="173" fontId="3" fillId="4" borderId="45" xfId="0" applyNumberFormat="1" applyFont="1" applyFill="1" applyBorder="1" applyAlignment="1" applyProtection="1">
      <alignment/>
      <protection locked="0"/>
    </xf>
    <xf numFmtId="173" fontId="3" fillId="4" borderId="43" xfId="0" applyNumberFormat="1" applyFont="1" applyFill="1" applyBorder="1" applyAlignment="1" applyProtection="1">
      <alignment/>
      <protection locked="0"/>
    </xf>
    <xf numFmtId="173" fontId="1" fillId="4" borderId="9" xfId="0" applyNumberFormat="1" applyFont="1" applyFill="1" applyBorder="1" applyAlignment="1" applyProtection="1">
      <alignment/>
      <protection locked="0"/>
    </xf>
    <xf numFmtId="173" fontId="3" fillId="4" borderId="44" xfId="0" applyNumberFormat="1" applyFont="1" applyFill="1" applyBorder="1" applyAlignment="1" applyProtection="1">
      <alignment/>
      <protection locked="0"/>
    </xf>
    <xf numFmtId="173" fontId="3" fillId="4" borderId="80" xfId="0" applyNumberFormat="1" applyFont="1" applyFill="1" applyBorder="1" applyAlignment="1" applyProtection="1">
      <alignment/>
      <protection locked="0"/>
    </xf>
    <xf numFmtId="173" fontId="3" fillId="2" borderId="45" xfId="0" applyNumberFormat="1" applyFont="1" applyFill="1" applyBorder="1" applyAlignment="1" applyProtection="1">
      <alignment horizontal="center" vertical="center"/>
      <protection locked="0"/>
    </xf>
    <xf numFmtId="173" fontId="3" fillId="2" borderId="45" xfId="0" applyNumberFormat="1" applyFont="1" applyFill="1" applyBorder="1" applyAlignment="1" applyProtection="1">
      <alignment horizontal="right"/>
      <protection locked="0"/>
    </xf>
    <xf numFmtId="173" fontId="3" fillId="2" borderId="43" xfId="0" applyNumberFormat="1" applyFont="1" applyFill="1" applyBorder="1" applyAlignment="1" applyProtection="1">
      <alignment horizontal="right"/>
      <protection locked="0"/>
    </xf>
    <xf numFmtId="173" fontId="3" fillId="4" borderId="9" xfId="0" applyNumberFormat="1" applyFont="1" applyFill="1" applyBorder="1" applyAlignment="1" applyProtection="1">
      <alignment horizontal="center"/>
      <protection locked="0"/>
    </xf>
    <xf numFmtId="173" fontId="3" fillId="2" borderId="9" xfId="0" applyNumberFormat="1" applyFont="1" applyFill="1" applyBorder="1" applyAlignment="1" applyProtection="1">
      <alignment horizontal="center" vertical="center"/>
      <protection locked="0"/>
    </xf>
    <xf numFmtId="173" fontId="1" fillId="4" borderId="9" xfId="0" applyNumberFormat="1" applyFont="1" applyFill="1" applyBorder="1" applyAlignment="1" applyProtection="1">
      <alignment horizontal="right"/>
      <protection locked="0"/>
    </xf>
    <xf numFmtId="173" fontId="3" fillId="2" borderId="45" xfId="0" applyNumberFormat="1" applyFont="1" applyFill="1" applyBorder="1" applyAlignment="1" applyProtection="1">
      <alignment/>
      <protection locked="0"/>
    </xf>
    <xf numFmtId="173" fontId="3" fillId="2" borderId="43" xfId="0" applyNumberFormat="1" applyFont="1" applyFill="1" applyBorder="1" applyAlignment="1" applyProtection="1">
      <alignment/>
      <protection locked="0"/>
    </xf>
    <xf numFmtId="173" fontId="3" fillId="2" borderId="9" xfId="0" applyNumberFormat="1" applyFont="1" applyFill="1" applyBorder="1" applyAlignment="1" applyProtection="1">
      <alignment horizontal="right"/>
      <protection locked="0"/>
    </xf>
    <xf numFmtId="173" fontId="3" fillId="2" borderId="80" xfId="0" applyNumberFormat="1" applyFont="1" applyFill="1" applyBorder="1" applyAlignment="1" applyProtection="1">
      <alignment horizontal="right"/>
      <protection locked="0"/>
    </xf>
    <xf numFmtId="173" fontId="1" fillId="2" borderId="9" xfId="0" applyNumberFormat="1" applyFont="1" applyFill="1" applyBorder="1" applyAlignment="1" applyProtection="1">
      <alignment horizontal="right"/>
      <protection locked="0"/>
    </xf>
    <xf numFmtId="173" fontId="1" fillId="2" borderId="45" xfId="0" applyNumberFormat="1" applyFont="1" applyFill="1" applyBorder="1" applyAlignment="1" applyProtection="1">
      <alignment horizontal="right"/>
      <protection locked="0"/>
    </xf>
    <xf numFmtId="173" fontId="1" fillId="2" borderId="43" xfId="0" applyNumberFormat="1" applyFont="1" applyFill="1" applyBorder="1" applyAlignment="1" applyProtection="1">
      <alignment horizontal="right"/>
      <protection locked="0"/>
    </xf>
    <xf numFmtId="173" fontId="1" fillId="4" borderId="9" xfId="0" applyNumberFormat="1" applyFont="1" applyFill="1" applyBorder="1" applyAlignment="1" applyProtection="1">
      <alignment vertical="center"/>
      <protection locked="0"/>
    </xf>
    <xf numFmtId="173" fontId="1" fillId="5" borderId="9" xfId="0" applyNumberFormat="1" applyFont="1" applyFill="1" applyBorder="1" applyAlignment="1" applyProtection="1">
      <alignment horizontal="right"/>
      <protection locked="0"/>
    </xf>
    <xf numFmtId="173" fontId="1" fillId="2" borderId="81" xfId="0" applyNumberFormat="1" applyFont="1" applyFill="1" applyBorder="1" applyAlignment="1" applyProtection="1">
      <alignment horizontal="right"/>
      <protection locked="0"/>
    </xf>
    <xf numFmtId="173" fontId="3" fillId="2" borderId="9" xfId="0" applyNumberFormat="1" applyFont="1" applyFill="1" applyBorder="1" applyAlignment="1" applyProtection="1">
      <alignment horizontal="center"/>
      <protection locked="0"/>
    </xf>
    <xf numFmtId="173" fontId="3" fillId="2" borderId="81" xfId="0" applyNumberFormat="1" applyFont="1" applyFill="1" applyBorder="1" applyAlignment="1" applyProtection="1">
      <alignment horizontal="center"/>
      <protection locked="0"/>
    </xf>
    <xf numFmtId="173" fontId="3" fillId="2" borderId="45" xfId="0" applyNumberFormat="1" applyFont="1" applyFill="1" applyBorder="1" applyAlignment="1" applyProtection="1">
      <alignment horizontal="center"/>
      <protection locked="0"/>
    </xf>
    <xf numFmtId="173" fontId="3" fillId="2" borderId="43" xfId="0" applyNumberFormat="1" applyFont="1" applyFill="1" applyBorder="1" applyAlignment="1" applyProtection="1">
      <alignment horizontal="center"/>
      <protection locked="0"/>
    </xf>
    <xf numFmtId="173" fontId="3" fillId="2" borderId="81" xfId="0" applyNumberFormat="1" applyFont="1" applyFill="1" applyBorder="1" applyAlignment="1" applyProtection="1">
      <alignment horizontal="right"/>
      <protection locked="0"/>
    </xf>
    <xf numFmtId="173" fontId="3" fillId="2" borderId="10" xfId="0" applyNumberFormat="1" applyFont="1" applyFill="1" applyBorder="1" applyAlignment="1" applyProtection="1">
      <alignment horizontal="center"/>
      <protection locked="0"/>
    </xf>
    <xf numFmtId="173" fontId="4" fillId="2" borderId="9" xfId="0" applyNumberFormat="1" applyFont="1" applyFill="1" applyBorder="1" applyAlignment="1" applyProtection="1">
      <alignment horizontal="left"/>
      <protection locked="0"/>
    </xf>
    <xf numFmtId="173" fontId="4" fillId="2" borderId="9" xfId="0" applyNumberFormat="1" applyFont="1" applyFill="1" applyBorder="1" applyAlignment="1" applyProtection="1">
      <alignment horizontal="center"/>
      <protection locked="0"/>
    </xf>
    <xf numFmtId="173" fontId="1" fillId="2" borderId="45" xfId="0" applyNumberFormat="1" applyFont="1" applyFill="1" applyBorder="1" applyAlignment="1" applyProtection="1">
      <alignment horizontal="center"/>
      <protection locked="0"/>
    </xf>
    <xf numFmtId="173" fontId="1" fillId="2" borderId="43" xfId="0" applyNumberFormat="1" applyFont="1" applyFill="1" applyBorder="1" applyAlignment="1" applyProtection="1">
      <alignment horizontal="center"/>
      <protection locked="0"/>
    </xf>
    <xf numFmtId="173" fontId="4" fillId="2" borderId="81" xfId="0" applyNumberFormat="1" applyFont="1" applyFill="1" applyBorder="1" applyAlignment="1" applyProtection="1">
      <alignment horizontal="center"/>
      <protection locked="0"/>
    </xf>
    <xf numFmtId="173" fontId="4" fillId="2" borderId="45" xfId="0" applyNumberFormat="1" applyFont="1" applyFill="1" applyBorder="1" applyAlignment="1" applyProtection="1">
      <alignment horizontal="center"/>
      <protection locked="0"/>
    </xf>
    <xf numFmtId="173" fontId="4" fillId="2" borderId="43" xfId="0" applyNumberFormat="1" applyFont="1" applyFill="1" applyBorder="1" applyAlignment="1" applyProtection="1">
      <alignment horizontal="center"/>
      <protection locked="0"/>
    </xf>
    <xf numFmtId="173" fontId="3" fillId="4" borderId="81" xfId="0" applyNumberFormat="1" applyFont="1" applyFill="1" applyBorder="1" applyAlignment="1" applyProtection="1">
      <alignment horizontal="center"/>
      <protection locked="0"/>
    </xf>
    <xf numFmtId="173" fontId="3" fillId="4" borderId="45" xfId="0" applyNumberFormat="1" applyFont="1" applyFill="1" applyBorder="1" applyAlignment="1" applyProtection="1">
      <alignment horizontal="center"/>
      <protection locked="0"/>
    </xf>
    <xf numFmtId="173" fontId="3" fillId="4" borderId="43" xfId="0" applyNumberFormat="1" applyFont="1" applyFill="1" applyBorder="1" applyAlignment="1" applyProtection="1">
      <alignment horizontal="center"/>
      <protection locked="0"/>
    </xf>
    <xf numFmtId="173" fontId="3" fillId="4" borderId="81" xfId="0" applyNumberFormat="1" applyFont="1" applyFill="1" applyBorder="1" applyAlignment="1" applyProtection="1">
      <alignment horizontal="right"/>
      <protection locked="0"/>
    </xf>
    <xf numFmtId="173" fontId="3" fillId="4" borderId="45" xfId="0" applyNumberFormat="1" applyFont="1" applyFill="1" applyBorder="1" applyAlignment="1" applyProtection="1">
      <alignment horizontal="right"/>
      <protection locked="0"/>
    </xf>
    <xf numFmtId="173" fontId="3" fillId="4" borderId="43" xfId="0" applyNumberFormat="1" applyFont="1" applyFill="1" applyBorder="1" applyAlignment="1" applyProtection="1">
      <alignment horizontal="right"/>
      <protection locked="0"/>
    </xf>
    <xf numFmtId="173" fontId="5" fillId="2" borderId="81" xfId="0" applyNumberFormat="1" applyFont="1" applyFill="1" applyBorder="1" applyAlignment="1" applyProtection="1">
      <alignment horizontal="center"/>
      <protection locked="0"/>
    </xf>
    <xf numFmtId="173" fontId="5" fillId="2" borderId="45" xfId="0" applyNumberFormat="1" applyFont="1" applyFill="1" applyBorder="1" applyAlignment="1" applyProtection="1">
      <alignment horizontal="center"/>
      <protection locked="0"/>
    </xf>
    <xf numFmtId="173" fontId="5" fillId="2" borderId="43" xfId="0" applyNumberFormat="1" applyFont="1" applyFill="1" applyBorder="1" applyAlignment="1" applyProtection="1">
      <alignment horizontal="center"/>
      <protection locked="0"/>
    </xf>
    <xf numFmtId="173" fontId="3" fillId="4" borderId="81" xfId="0" applyNumberFormat="1" applyFont="1" applyFill="1" applyBorder="1" applyAlignment="1" applyProtection="1">
      <alignment/>
      <protection locked="0"/>
    </xf>
    <xf numFmtId="173" fontId="3" fillId="4" borderId="9" xfId="0" applyNumberFormat="1" applyFont="1" applyFill="1" applyBorder="1" applyAlignment="1" applyProtection="1">
      <alignment/>
      <protection locked="0"/>
    </xf>
    <xf numFmtId="173" fontId="4" fillId="2" borderId="9" xfId="0" applyNumberFormat="1" applyFont="1" applyFill="1" applyBorder="1" applyAlignment="1" applyProtection="1">
      <alignment/>
      <protection locked="0"/>
    </xf>
    <xf numFmtId="173" fontId="4" fillId="2" borderId="81" xfId="0" applyNumberFormat="1" applyFont="1" applyFill="1" applyBorder="1" applyAlignment="1" applyProtection="1">
      <alignment/>
      <protection locked="0"/>
    </xf>
    <xf numFmtId="173" fontId="4" fillId="2" borderId="45" xfId="0" applyNumberFormat="1" applyFont="1" applyFill="1" applyBorder="1" applyAlignment="1" applyProtection="1">
      <alignment/>
      <protection locked="0"/>
    </xf>
    <xf numFmtId="173" fontId="4" fillId="2" borderId="43" xfId="0" applyNumberFormat="1" applyFont="1" applyFill="1" applyBorder="1" applyAlignment="1" applyProtection="1">
      <alignment/>
      <protection locked="0"/>
    </xf>
    <xf numFmtId="173" fontId="4" fillId="2" borderId="45" xfId="0" applyNumberFormat="1" applyFont="1" applyFill="1" applyBorder="1" applyAlignment="1" applyProtection="1">
      <alignment/>
      <protection locked="0"/>
    </xf>
    <xf numFmtId="173" fontId="1" fillId="4" borderId="9" xfId="0" applyNumberFormat="1" applyFont="1" applyFill="1" applyBorder="1" applyAlignment="1" applyProtection="1">
      <alignment horizontal="right"/>
      <protection locked="0"/>
    </xf>
    <xf numFmtId="173" fontId="5" fillId="2" borderId="81" xfId="0" applyNumberFormat="1" applyFont="1" applyFill="1" applyBorder="1" applyAlignment="1" applyProtection="1">
      <alignment/>
      <protection locked="0"/>
    </xf>
    <xf numFmtId="173" fontId="5" fillId="2" borderId="45" xfId="0" applyNumberFormat="1" applyFont="1" applyFill="1" applyBorder="1" applyAlignment="1" applyProtection="1">
      <alignment/>
      <protection locked="0"/>
    </xf>
    <xf numFmtId="173" fontId="1" fillId="4" borderId="9" xfId="0" applyNumberFormat="1" applyFont="1" applyFill="1" applyBorder="1" applyAlignment="1" applyProtection="1">
      <alignment/>
      <protection locked="0"/>
    </xf>
    <xf numFmtId="173" fontId="1" fillId="5" borderId="10" xfId="0" applyNumberFormat="1" applyFont="1" applyFill="1" applyBorder="1" applyAlignment="1" applyProtection="1">
      <alignment horizontal="right"/>
      <protection locked="0"/>
    </xf>
    <xf numFmtId="173" fontId="1" fillId="4" borderId="10" xfId="0" applyNumberFormat="1" applyFont="1" applyFill="1" applyBorder="1" applyAlignment="1" applyProtection="1">
      <alignment/>
      <protection locked="0"/>
    </xf>
    <xf numFmtId="173" fontId="3" fillId="2" borderId="4" xfId="0" applyNumberFormat="1" applyFont="1" applyFill="1" applyBorder="1" applyAlignment="1" applyProtection="1">
      <alignment horizontal="right"/>
      <protection locked="0"/>
    </xf>
    <xf numFmtId="173" fontId="3" fillId="4" borderId="21" xfId="0" applyNumberFormat="1" applyFont="1" applyFill="1" applyBorder="1" applyAlignment="1" applyProtection="1">
      <alignment horizontal="right"/>
      <protection locked="0"/>
    </xf>
    <xf numFmtId="173" fontId="1" fillId="4" borderId="4" xfId="0" applyNumberFormat="1" applyFont="1" applyFill="1" applyBorder="1" applyAlignment="1" applyProtection="1">
      <alignment/>
      <protection locked="0"/>
    </xf>
    <xf numFmtId="173" fontId="3" fillId="4" borderId="13" xfId="0" applyNumberFormat="1" applyFont="1" applyFill="1" applyBorder="1" applyAlignment="1" applyProtection="1">
      <alignment horizontal="right"/>
      <protection locked="0"/>
    </xf>
    <xf numFmtId="173" fontId="3" fillId="2" borderId="13" xfId="0" applyNumberFormat="1" applyFont="1" applyFill="1" applyBorder="1" applyAlignment="1" applyProtection="1">
      <alignment horizontal="right"/>
      <protection locked="0"/>
    </xf>
    <xf numFmtId="173" fontId="1" fillId="5" borderId="8" xfId="0" applyNumberFormat="1" applyFont="1" applyFill="1" applyBorder="1" applyAlignment="1" applyProtection="1">
      <alignment horizontal="right"/>
      <protection locked="0"/>
    </xf>
    <xf numFmtId="173" fontId="3" fillId="4" borderId="82" xfId="0" applyNumberFormat="1" applyFont="1" applyFill="1" applyBorder="1" applyAlignment="1" applyProtection="1">
      <alignment horizontal="right"/>
      <protection locked="0"/>
    </xf>
    <xf numFmtId="173" fontId="3" fillId="4" borderId="83" xfId="0" applyNumberFormat="1" applyFont="1" applyFill="1" applyBorder="1" applyAlignment="1" applyProtection="1">
      <alignment horizontal="right"/>
      <protection locked="0"/>
    </xf>
    <xf numFmtId="173" fontId="3" fillId="4" borderId="84" xfId="0" applyNumberFormat="1" applyFont="1" applyFill="1" applyBorder="1" applyAlignment="1" applyProtection="1">
      <alignment horizontal="right"/>
      <protection locked="0"/>
    </xf>
    <xf numFmtId="173" fontId="1" fillId="4" borderId="8" xfId="0" applyNumberFormat="1" applyFont="1" applyFill="1" applyBorder="1" applyAlignment="1" applyProtection="1">
      <alignment/>
      <protection locked="0"/>
    </xf>
    <xf numFmtId="173" fontId="1" fillId="4" borderId="8" xfId="0" applyNumberFormat="1" applyFont="1" applyFill="1" applyBorder="1" applyAlignment="1" applyProtection="1">
      <alignment horizontal="right"/>
      <protection locked="0"/>
    </xf>
    <xf numFmtId="173" fontId="3" fillId="2" borderId="85" xfId="0" applyNumberFormat="1" applyFont="1" applyFill="1" applyBorder="1" applyAlignment="1" applyProtection="1">
      <alignment horizontal="right"/>
      <protection locked="0"/>
    </xf>
    <xf numFmtId="173" fontId="3" fillId="2" borderId="62" xfId="0" applyNumberFormat="1" applyFont="1" applyFill="1" applyBorder="1" applyAlignment="1" applyProtection="1">
      <alignment horizontal="right"/>
      <protection locked="0"/>
    </xf>
    <xf numFmtId="173" fontId="3" fillId="2" borderId="39" xfId="0" applyNumberFormat="1" applyFont="1" applyFill="1" applyBorder="1" applyAlignment="1" applyProtection="1">
      <alignment horizontal="right"/>
      <protection locked="0"/>
    </xf>
    <xf numFmtId="173" fontId="3" fillId="4" borderId="14" xfId="0" applyNumberFormat="1" applyFont="1" applyFill="1" applyBorder="1" applyAlignment="1" applyProtection="1">
      <alignment horizontal="right"/>
      <protection locked="0"/>
    </xf>
    <xf numFmtId="173" fontId="1" fillId="5" borderId="14" xfId="0" applyNumberFormat="1" applyFont="1" applyFill="1" applyBorder="1" applyAlignment="1" applyProtection="1">
      <alignment horizontal="right"/>
      <protection locked="0"/>
    </xf>
    <xf numFmtId="173" fontId="4" fillId="2" borderId="86" xfId="0" applyNumberFormat="1" applyFont="1" applyFill="1" applyBorder="1" applyAlignment="1" applyProtection="1">
      <alignment horizontal="right"/>
      <protection locked="0"/>
    </xf>
    <xf numFmtId="173" fontId="4" fillId="2" borderId="51" xfId="0" applyNumberFormat="1" applyFont="1" applyFill="1" applyBorder="1" applyAlignment="1" applyProtection="1">
      <alignment horizontal="right"/>
      <protection locked="0"/>
    </xf>
    <xf numFmtId="173" fontId="4" fillId="2" borderId="50" xfId="0" applyNumberFormat="1" applyFont="1" applyFill="1" applyBorder="1" applyAlignment="1" applyProtection="1">
      <alignment horizontal="right"/>
      <protection locked="0"/>
    </xf>
    <xf numFmtId="173" fontId="3" fillId="4" borderId="14" xfId="0" applyNumberFormat="1" applyFont="1" applyFill="1" applyBorder="1" applyAlignment="1" applyProtection="1">
      <alignment/>
      <protection locked="0"/>
    </xf>
    <xf numFmtId="173" fontId="1" fillId="4" borderId="14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2" borderId="0" xfId="0" applyFont="1" applyFill="1" applyBorder="1" applyAlignment="1" applyProtection="1">
      <alignment horizontal="right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173" fontId="1" fillId="3" borderId="23" xfId="0" applyNumberFormat="1" applyFont="1" applyFill="1" applyBorder="1" applyAlignment="1">
      <alignment/>
    </xf>
    <xf numFmtId="173" fontId="1" fillId="3" borderId="0" xfId="0" applyNumberFormat="1" applyFont="1" applyFill="1" applyAlignment="1">
      <alignment/>
    </xf>
    <xf numFmtId="173" fontId="1" fillId="3" borderId="39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75" zoomScaleNormal="75" workbookViewId="0" topLeftCell="A20">
      <selection activeCell="D24" sqref="D24"/>
    </sheetView>
  </sheetViews>
  <sheetFormatPr defaultColWidth="8.796875" defaultRowHeight="15"/>
  <cols>
    <col min="1" max="1" width="7.09765625" style="0" customWidth="1"/>
    <col min="2" max="2" width="38.19921875" style="0" customWidth="1"/>
    <col min="3" max="3" width="16.09765625" style="0" customWidth="1"/>
    <col min="4" max="4" width="19" style="0" customWidth="1"/>
    <col min="5" max="5" width="6.69921875" style="0" hidden="1" customWidth="1"/>
    <col min="6" max="6" width="10.796875" style="0" hidden="1" customWidth="1"/>
    <col min="7" max="11" width="14.796875" style="0" customWidth="1"/>
    <col min="12" max="16" width="11.296875" style="0" customWidth="1"/>
    <col min="17" max="17" width="12.296875" style="0" customWidth="1"/>
    <col min="18" max="18" width="11.19921875" style="0" customWidth="1"/>
    <col min="19" max="19" width="25.296875" style="0" customWidth="1"/>
    <col min="20" max="20" width="7.69921875" style="0" customWidth="1"/>
  </cols>
  <sheetData>
    <row r="1" spans="1:20" ht="15">
      <c r="A1" s="91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01" t="s">
        <v>172</v>
      </c>
    </row>
    <row r="2" spans="1:20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6"/>
      <c r="S2" s="56"/>
      <c r="T2" s="402" t="s">
        <v>12</v>
      </c>
    </row>
    <row r="3" spans="1:19" ht="15">
      <c r="A3" s="5"/>
      <c r="B3" s="2"/>
      <c r="C3" s="5"/>
      <c r="D3" s="5"/>
      <c r="E3" s="5"/>
      <c r="F3" s="5"/>
      <c r="G3" s="28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8">
      <c r="A4" s="93" t="s">
        <v>175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18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18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20" ht="15.75" thickBot="1">
      <c r="A7" s="5"/>
      <c r="B7" s="6"/>
      <c r="C7" s="97" t="s">
        <v>122</v>
      </c>
      <c r="D7" s="96" t="s">
        <v>142</v>
      </c>
      <c r="E7" s="96"/>
      <c r="F7" s="96"/>
      <c r="G7" s="5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 t="s">
        <v>156</v>
      </c>
      <c r="T7" s="92" t="s">
        <v>0</v>
      </c>
    </row>
    <row r="8" spans="1:20" ht="15.75" thickBot="1">
      <c r="A8" s="99"/>
      <c r="B8" s="9"/>
      <c r="C8" s="10" t="s">
        <v>105</v>
      </c>
      <c r="D8" s="10" t="s">
        <v>141</v>
      </c>
      <c r="E8" s="10" t="s">
        <v>13</v>
      </c>
      <c r="F8" s="11" t="s">
        <v>9</v>
      </c>
      <c r="G8" s="51" t="s">
        <v>93</v>
      </c>
      <c r="H8" s="44" t="s">
        <v>94</v>
      </c>
      <c r="I8" s="44" t="s">
        <v>95</v>
      </c>
      <c r="J8" s="44" t="s">
        <v>96</v>
      </c>
      <c r="K8" s="44" t="s">
        <v>97</v>
      </c>
      <c r="L8" s="44" t="s">
        <v>98</v>
      </c>
      <c r="M8" s="44" t="s">
        <v>99</v>
      </c>
      <c r="N8" s="44" t="s">
        <v>100</v>
      </c>
      <c r="O8" s="44" t="s">
        <v>101</v>
      </c>
      <c r="P8" s="44" t="s">
        <v>102</v>
      </c>
      <c r="Q8" s="60" t="s">
        <v>103</v>
      </c>
      <c r="R8" s="74" t="s">
        <v>104</v>
      </c>
      <c r="S8" s="27" t="s">
        <v>146</v>
      </c>
      <c r="T8" s="10" t="s">
        <v>1</v>
      </c>
    </row>
    <row r="9" spans="1:20" ht="15.75" thickBot="1">
      <c r="A9" s="100"/>
      <c r="B9" s="12"/>
      <c r="C9" s="27" t="s">
        <v>77</v>
      </c>
      <c r="D9" s="27" t="s">
        <v>76</v>
      </c>
      <c r="E9" s="27" t="s">
        <v>80</v>
      </c>
      <c r="F9" s="11" t="s">
        <v>79</v>
      </c>
      <c r="G9" s="51"/>
      <c r="H9" s="44"/>
      <c r="I9" s="44"/>
      <c r="J9" s="44"/>
      <c r="K9" s="44"/>
      <c r="L9" s="44"/>
      <c r="M9" s="49"/>
      <c r="N9" s="49"/>
      <c r="O9" s="49"/>
      <c r="P9" s="44"/>
      <c r="Q9" s="49"/>
      <c r="R9" s="74"/>
      <c r="S9" s="27" t="s">
        <v>29</v>
      </c>
      <c r="T9" s="27" t="s">
        <v>74</v>
      </c>
    </row>
    <row r="10" spans="1:20" ht="15.75" thickBot="1">
      <c r="A10" s="99"/>
      <c r="B10" s="28" t="s">
        <v>121</v>
      </c>
      <c r="C10" s="30">
        <f>C11+C70</f>
        <v>111086915</v>
      </c>
      <c r="D10" s="30">
        <f>D11+D70</f>
        <v>112553307</v>
      </c>
      <c r="E10" s="30"/>
      <c r="F10" s="76"/>
      <c r="G10" s="77">
        <f aca="true" t="shared" si="0" ref="G10:R10">SUM(G11+G68+G70)</f>
        <v>15000304</v>
      </c>
      <c r="H10" s="77">
        <f t="shared" si="0"/>
        <v>8115568</v>
      </c>
      <c r="I10" s="77">
        <f t="shared" si="0"/>
        <v>8146232</v>
      </c>
      <c r="J10" s="77">
        <f t="shared" si="0"/>
        <v>8357123</v>
      </c>
      <c r="K10" s="77">
        <f t="shared" si="0"/>
        <v>8685092</v>
      </c>
      <c r="L10" s="77">
        <f t="shared" si="0"/>
        <v>7483234</v>
      </c>
      <c r="M10" s="77">
        <f t="shared" si="0"/>
        <v>10881619</v>
      </c>
      <c r="N10" s="77">
        <f t="shared" si="0"/>
        <v>6844585</v>
      </c>
      <c r="O10" s="81">
        <f t="shared" si="0"/>
        <v>9807631</v>
      </c>
      <c r="P10" s="50">
        <f t="shared" si="0"/>
        <v>10855804</v>
      </c>
      <c r="Q10" s="50">
        <f t="shared" si="0"/>
        <v>8833893</v>
      </c>
      <c r="R10" s="50">
        <f t="shared" si="0"/>
        <v>9148308</v>
      </c>
      <c r="S10" s="29">
        <f>SUM(G10:R10)</f>
        <v>112159393</v>
      </c>
      <c r="T10" s="29"/>
    </row>
    <row r="11" spans="1:20" ht="16.5" thickBot="1">
      <c r="A11" s="288" t="s">
        <v>4</v>
      </c>
      <c r="B11" s="289" t="s">
        <v>137</v>
      </c>
      <c r="C11" s="309">
        <f>C12+C66</f>
        <v>95240746</v>
      </c>
      <c r="D11" s="309">
        <f>D12+D66</f>
        <v>96707138</v>
      </c>
      <c r="E11" s="310" t="e">
        <f>SUM(C11/#REF!*100)</f>
        <v>#REF!</v>
      </c>
      <c r="F11" s="311" t="e">
        <f>SUM(D11-#REF!)</f>
        <v>#REF!</v>
      </c>
      <c r="G11" s="312">
        <f aca="true" t="shared" si="1" ref="G11:R11">SUM(G12+G66)</f>
        <v>12357677</v>
      </c>
      <c r="H11" s="283">
        <f t="shared" si="1"/>
        <v>6873862</v>
      </c>
      <c r="I11" s="283">
        <f t="shared" si="1"/>
        <v>6966378</v>
      </c>
      <c r="J11" s="283">
        <f t="shared" si="1"/>
        <v>7270416</v>
      </c>
      <c r="K11" s="283">
        <f t="shared" si="1"/>
        <v>7401616</v>
      </c>
      <c r="L11" s="283">
        <f t="shared" si="1"/>
        <v>7482040</v>
      </c>
      <c r="M11" s="283">
        <f t="shared" si="1"/>
        <v>7933364</v>
      </c>
      <c r="N11" s="283">
        <f t="shared" si="1"/>
        <v>6843288</v>
      </c>
      <c r="O11" s="284">
        <f t="shared" si="1"/>
        <v>8326183</v>
      </c>
      <c r="P11" s="283">
        <f t="shared" si="1"/>
        <v>8423969</v>
      </c>
      <c r="Q11" s="283">
        <f t="shared" si="1"/>
        <v>7831723</v>
      </c>
      <c r="R11" s="283">
        <f t="shared" si="1"/>
        <v>9146303</v>
      </c>
      <c r="S11" s="313">
        <f>SUM(G11:R11)</f>
        <v>96856819</v>
      </c>
      <c r="T11" s="313">
        <f>SUM(S11/C11*100)</f>
        <v>101.69682942214668</v>
      </c>
    </row>
    <row r="12" spans="1:20" ht="16.5" thickBot="1">
      <c r="A12" s="290" t="s">
        <v>2</v>
      </c>
      <c r="B12" s="291" t="s">
        <v>120</v>
      </c>
      <c r="C12" s="314">
        <f>SUM(C14+C62)</f>
        <v>91813473</v>
      </c>
      <c r="D12" s="314">
        <f>SUM(D14+D62)</f>
        <v>91813473</v>
      </c>
      <c r="E12" s="310" t="e">
        <f>SUM(C12/#REF!*100)</f>
        <v>#REF!</v>
      </c>
      <c r="F12" s="311" t="e">
        <f>SUM(D12-#REF!)</f>
        <v>#REF!</v>
      </c>
      <c r="G12" s="315">
        <f aca="true" t="shared" si="2" ref="G12:P12">SUM(G14+G62)</f>
        <v>8085380</v>
      </c>
      <c r="H12" s="315">
        <f t="shared" si="2"/>
        <v>6873862</v>
      </c>
      <c r="I12" s="315">
        <f t="shared" si="2"/>
        <v>6597941</v>
      </c>
      <c r="J12" s="315">
        <f t="shared" si="2"/>
        <v>7270014</v>
      </c>
      <c r="K12" s="315">
        <f t="shared" si="2"/>
        <v>7396613</v>
      </c>
      <c r="L12" s="315">
        <f t="shared" si="2"/>
        <v>7482018</v>
      </c>
      <c r="M12" s="315">
        <f>SUM(M14+M62)</f>
        <v>7933354</v>
      </c>
      <c r="N12" s="315">
        <f>SUM(N14+N62)</f>
        <v>6843298</v>
      </c>
      <c r="O12" s="316">
        <f>SUM(O14+O62)</f>
        <v>8326236</v>
      </c>
      <c r="P12" s="315">
        <f t="shared" si="2"/>
        <v>8423984</v>
      </c>
      <c r="Q12" s="315">
        <f>SUM(Q14+Q62)</f>
        <v>7831780</v>
      </c>
      <c r="R12" s="315">
        <f>SUM(R14+R62)</f>
        <v>8856956</v>
      </c>
      <c r="S12" s="313">
        <f>SUM(G12:R12)</f>
        <v>91921436</v>
      </c>
      <c r="T12" s="313">
        <f>SUM(S12/C12*100)</f>
        <v>100.11758949582487</v>
      </c>
    </row>
    <row r="13" spans="1:20" ht="15">
      <c r="A13" s="292"/>
      <c r="B13" s="31" t="s">
        <v>14</v>
      </c>
      <c r="C13" s="317"/>
      <c r="D13" s="317"/>
      <c r="E13" s="318"/>
      <c r="F13" s="319"/>
      <c r="G13" s="320"/>
      <c r="H13" s="320"/>
      <c r="I13" s="320"/>
      <c r="J13" s="320"/>
      <c r="K13" s="320"/>
      <c r="L13" s="320"/>
      <c r="M13" s="320"/>
      <c r="N13" s="320"/>
      <c r="O13" s="321"/>
      <c r="P13" s="320"/>
      <c r="Q13" s="320"/>
      <c r="R13" s="320"/>
      <c r="S13" s="318" t="s">
        <v>147</v>
      </c>
      <c r="T13" s="318"/>
    </row>
    <row r="14" spans="1:20" ht="15">
      <c r="A14" s="293" t="s">
        <v>10</v>
      </c>
      <c r="B14" s="32" t="s">
        <v>117</v>
      </c>
      <c r="C14" s="317">
        <f>SUM(C15+C44)</f>
        <v>91463473</v>
      </c>
      <c r="D14" s="317">
        <f>SUM(D15+D44)</f>
        <v>91463473</v>
      </c>
      <c r="E14" s="322" t="e">
        <f>SUM(C14/#REF!*100)</f>
        <v>#REF!</v>
      </c>
      <c r="F14" s="323" t="e">
        <f>SUM(D14-#REF!)</f>
        <v>#REF!</v>
      </c>
      <c r="G14" s="324">
        <f>SUM(G15+G44)</f>
        <v>8053749</v>
      </c>
      <c r="H14" s="324">
        <f aca="true" t="shared" si="3" ref="H14:P14">SUM(H15+H44)</f>
        <v>6842003</v>
      </c>
      <c r="I14" s="324">
        <f t="shared" si="3"/>
        <v>6569837</v>
      </c>
      <c r="J14" s="324">
        <f t="shared" si="3"/>
        <v>7240455</v>
      </c>
      <c r="K14" s="324">
        <f t="shared" si="3"/>
        <v>7360477</v>
      </c>
      <c r="L14" s="324">
        <f t="shared" si="3"/>
        <v>7456511</v>
      </c>
      <c r="M14" s="324">
        <f>SUM(M15+M44)</f>
        <v>7901071</v>
      </c>
      <c r="N14" s="324">
        <f>SUM(N15+N44)</f>
        <v>6814276</v>
      </c>
      <c r="O14" s="325">
        <f>SUM(O15+O44)</f>
        <v>8297733</v>
      </c>
      <c r="P14" s="324">
        <f t="shared" si="3"/>
        <v>8388879</v>
      </c>
      <c r="Q14" s="324">
        <f>SUM(Q15+Q44)</f>
        <v>7806468</v>
      </c>
      <c r="R14" s="324">
        <f>SUM(R15+R44)</f>
        <v>8826813</v>
      </c>
      <c r="S14" s="322">
        <f aca="true" t="shared" si="4" ref="S14:S19">SUM(G14:R14)</f>
        <v>91558272</v>
      </c>
      <c r="T14" s="326">
        <f>SUM(S14/C14*100)</f>
        <v>100.10364684052617</v>
      </c>
    </row>
    <row r="15" spans="1:20" ht="15">
      <c r="A15" s="294" t="s">
        <v>76</v>
      </c>
      <c r="B15" s="32" t="s">
        <v>116</v>
      </c>
      <c r="C15" s="317">
        <f>SUM(C16+C30)</f>
        <v>90825269</v>
      </c>
      <c r="D15" s="317">
        <f>SUM(D16+D30)</f>
        <v>90825269</v>
      </c>
      <c r="E15" s="317" t="e">
        <f aca="true" t="shared" si="5" ref="E15:P15">SUM(E16+E30)</f>
        <v>#REF!</v>
      </c>
      <c r="F15" s="327" t="e">
        <f t="shared" si="5"/>
        <v>#REF!</v>
      </c>
      <c r="G15" s="324">
        <f t="shared" si="5"/>
        <v>8053749</v>
      </c>
      <c r="H15" s="324">
        <f t="shared" si="5"/>
        <v>6842003</v>
      </c>
      <c r="I15" s="324">
        <f t="shared" si="5"/>
        <v>6569837</v>
      </c>
      <c r="J15" s="324">
        <f t="shared" si="5"/>
        <v>7049558</v>
      </c>
      <c r="K15" s="324">
        <f t="shared" si="5"/>
        <v>7337027</v>
      </c>
      <c r="L15" s="324">
        <f t="shared" si="5"/>
        <v>7450374</v>
      </c>
      <c r="M15" s="324">
        <f>SUM(M16+M30)</f>
        <v>7675871</v>
      </c>
      <c r="N15" s="324">
        <f>SUM(N16+N30)</f>
        <v>6798130</v>
      </c>
      <c r="O15" s="325">
        <f>SUM(O16+O30)</f>
        <v>8293603</v>
      </c>
      <c r="P15" s="328">
        <f t="shared" si="5"/>
        <v>8156950</v>
      </c>
      <c r="Q15" s="328">
        <f>SUM(Q16+Q30)</f>
        <v>7789260</v>
      </c>
      <c r="R15" s="328">
        <f>SUM(R16+R30)</f>
        <v>9011443</v>
      </c>
      <c r="S15" s="322">
        <f t="shared" si="4"/>
        <v>91027805</v>
      </c>
      <c r="T15" s="326"/>
    </row>
    <row r="16" spans="1:20" ht="15">
      <c r="A16" s="295" t="s">
        <v>106</v>
      </c>
      <c r="B16" s="33" t="s">
        <v>34</v>
      </c>
      <c r="C16" s="142">
        <f>SUM(C17+C27+C28)</f>
        <v>12956665</v>
      </c>
      <c r="D16" s="142">
        <f>SUM(D17+D27+D28)</f>
        <v>12956665</v>
      </c>
      <c r="E16" s="322" t="e">
        <f>SUM(C16/#REF!*100)</f>
        <v>#REF!</v>
      </c>
      <c r="F16" s="323" t="e">
        <f>SUM(D16-#REF!)</f>
        <v>#REF!</v>
      </c>
      <c r="G16" s="329">
        <f aca="true" t="shared" si="6" ref="G16:R16">SUM(G17+G27+G28)</f>
        <v>1232624</v>
      </c>
      <c r="H16" s="329">
        <f t="shared" si="6"/>
        <v>990536</v>
      </c>
      <c r="I16" s="329">
        <f t="shared" si="6"/>
        <v>1057393</v>
      </c>
      <c r="J16" s="329">
        <f t="shared" si="6"/>
        <v>1031675</v>
      </c>
      <c r="K16" s="330">
        <f t="shared" si="6"/>
        <v>1076322</v>
      </c>
      <c r="L16" s="330">
        <f t="shared" si="6"/>
        <v>1079362</v>
      </c>
      <c r="M16" s="330">
        <f t="shared" si="6"/>
        <v>1113308</v>
      </c>
      <c r="N16" s="330">
        <f t="shared" si="6"/>
        <v>994265</v>
      </c>
      <c r="O16" s="331">
        <f t="shared" si="6"/>
        <v>1204470</v>
      </c>
      <c r="P16" s="330">
        <f t="shared" si="6"/>
        <v>1285356</v>
      </c>
      <c r="Q16" s="330">
        <f t="shared" si="6"/>
        <v>1141883</v>
      </c>
      <c r="R16" s="330">
        <f t="shared" si="6"/>
        <v>1345019</v>
      </c>
      <c r="S16" s="332">
        <f t="shared" si="4"/>
        <v>13552213</v>
      </c>
      <c r="T16" s="326">
        <f aca="true" t="shared" si="7" ref="T16:T70">SUM(S16/C16*100)</f>
        <v>104.59646058611534</v>
      </c>
    </row>
    <row r="17" spans="1:20" ht="15">
      <c r="A17" s="296"/>
      <c r="B17" s="62" t="s">
        <v>107</v>
      </c>
      <c r="C17" s="333">
        <f>C18+C24</f>
        <v>11821928</v>
      </c>
      <c r="D17" s="333">
        <f>D18+D24</f>
        <v>11821928</v>
      </c>
      <c r="E17" s="334" t="e">
        <f>SUM(C17/#REF!*100)</f>
        <v>#REF!</v>
      </c>
      <c r="F17" s="323" t="e">
        <f>SUM(D17-#REF!)</f>
        <v>#REF!</v>
      </c>
      <c r="G17" s="335">
        <f aca="true" t="shared" si="8" ref="G17:R17">SUM(G18+G24)</f>
        <v>1058545</v>
      </c>
      <c r="H17" s="335">
        <f t="shared" si="8"/>
        <v>895053</v>
      </c>
      <c r="I17" s="335">
        <f t="shared" si="8"/>
        <v>898870</v>
      </c>
      <c r="J17" s="335">
        <f t="shared" si="8"/>
        <v>937283</v>
      </c>
      <c r="K17" s="335">
        <f t="shared" si="8"/>
        <v>960584</v>
      </c>
      <c r="L17" s="335">
        <f t="shared" si="8"/>
        <v>987678</v>
      </c>
      <c r="M17" s="335">
        <f t="shared" si="8"/>
        <v>1022152</v>
      </c>
      <c r="N17" s="335">
        <f t="shared" si="8"/>
        <v>984299</v>
      </c>
      <c r="O17" s="336">
        <f t="shared" si="8"/>
        <v>1014046</v>
      </c>
      <c r="P17" s="335">
        <f t="shared" si="8"/>
        <v>1194865</v>
      </c>
      <c r="Q17" s="335">
        <f t="shared" si="8"/>
        <v>1093200</v>
      </c>
      <c r="R17" s="335">
        <f t="shared" si="8"/>
        <v>1334350</v>
      </c>
      <c r="S17" s="332">
        <f t="shared" si="4"/>
        <v>12380925</v>
      </c>
      <c r="T17" s="326">
        <f t="shared" si="7"/>
        <v>104.72847576131406</v>
      </c>
    </row>
    <row r="18" spans="1:20" ht="15">
      <c r="A18" s="297"/>
      <c r="B18" s="34" t="s">
        <v>110</v>
      </c>
      <c r="C18" s="337">
        <f>C21+C22+C23</f>
        <v>11168842</v>
      </c>
      <c r="D18" s="337">
        <f>D21+D22+D23</f>
        <v>11168842</v>
      </c>
      <c r="E18" s="322" t="e">
        <f>SUM(C18/#REF!*100)</f>
        <v>#REF!</v>
      </c>
      <c r="F18" s="323" t="e">
        <f>SUM(D18-#REF!)</f>
        <v>#REF!</v>
      </c>
      <c r="G18" s="330">
        <f aca="true" t="shared" si="9" ref="G18:P18">G21+G22+G23</f>
        <v>1004737</v>
      </c>
      <c r="H18" s="330">
        <f t="shared" si="9"/>
        <v>904964</v>
      </c>
      <c r="I18" s="330">
        <f t="shared" si="9"/>
        <v>786013</v>
      </c>
      <c r="J18" s="330">
        <f t="shared" si="9"/>
        <v>900583</v>
      </c>
      <c r="K18" s="330">
        <f t="shared" si="9"/>
        <v>936439</v>
      </c>
      <c r="L18" s="330">
        <f t="shared" si="9"/>
        <v>970093</v>
      </c>
      <c r="M18" s="330">
        <f>M21+M22+M23</f>
        <v>998948</v>
      </c>
      <c r="N18" s="330">
        <f>N21+N22+N23</f>
        <v>961812</v>
      </c>
      <c r="O18" s="331">
        <f>O21+O22+O23</f>
        <v>985642</v>
      </c>
      <c r="P18" s="338">
        <f t="shared" si="9"/>
        <v>1013513</v>
      </c>
      <c r="Q18" s="338">
        <f>Q21+Q22+Q23</f>
        <v>994485</v>
      </c>
      <c r="R18" s="338">
        <f>R21+R22+R23</f>
        <v>1216781</v>
      </c>
      <c r="S18" s="322">
        <f t="shared" si="4"/>
        <v>11674010</v>
      </c>
      <c r="T18" s="326">
        <f t="shared" si="7"/>
        <v>104.52301142768428</v>
      </c>
    </row>
    <row r="19" spans="1:20" ht="15">
      <c r="A19" s="297"/>
      <c r="B19" s="33" t="s">
        <v>15</v>
      </c>
      <c r="C19" s="339">
        <v>7548234</v>
      </c>
      <c r="D19" s="339">
        <v>7548234</v>
      </c>
      <c r="E19" s="334" t="e">
        <f>SUM(C19/#REF!*100)</f>
        <v>#REF!</v>
      </c>
      <c r="F19" s="323" t="e">
        <f>SUM(D19-#REF!)</f>
        <v>#REF!</v>
      </c>
      <c r="G19" s="340">
        <v>682176</v>
      </c>
      <c r="H19" s="340">
        <v>634260</v>
      </c>
      <c r="I19" s="340">
        <v>502217</v>
      </c>
      <c r="J19" s="340">
        <v>606449</v>
      </c>
      <c r="K19" s="340">
        <v>630209</v>
      </c>
      <c r="L19" s="340">
        <v>654820</v>
      </c>
      <c r="M19" s="340">
        <v>672654</v>
      </c>
      <c r="N19" s="340">
        <v>646632</v>
      </c>
      <c r="O19" s="341">
        <v>661705</v>
      </c>
      <c r="P19" s="340">
        <v>679711</v>
      </c>
      <c r="Q19" s="340">
        <v>669094</v>
      </c>
      <c r="R19" s="340">
        <v>820931</v>
      </c>
      <c r="S19" s="326">
        <f t="shared" si="4"/>
        <v>7860858</v>
      </c>
      <c r="T19" s="326">
        <f t="shared" si="7"/>
        <v>104.14168400184731</v>
      </c>
    </row>
    <row r="20" spans="1:20" ht="15">
      <c r="A20" s="297"/>
      <c r="B20" s="35" t="s">
        <v>16</v>
      </c>
      <c r="C20" s="339">
        <v>3108096</v>
      </c>
      <c r="D20" s="339">
        <v>3108096</v>
      </c>
      <c r="E20" s="334" t="e">
        <f>SUM(C20/#REF!*100)</f>
        <v>#REF!</v>
      </c>
      <c r="F20" s="323" t="e">
        <f>SUM(D20-#REF!)</f>
        <v>#REF!</v>
      </c>
      <c r="G20" s="340">
        <v>281931</v>
      </c>
      <c r="H20" s="340">
        <v>230844</v>
      </c>
      <c r="I20" s="340">
        <v>242143</v>
      </c>
      <c r="J20" s="340">
        <v>251680</v>
      </c>
      <c r="K20" s="340">
        <v>263309</v>
      </c>
      <c r="L20" s="340">
        <v>273107</v>
      </c>
      <c r="M20" s="340">
        <v>281228</v>
      </c>
      <c r="N20" s="340">
        <v>269089</v>
      </c>
      <c r="O20" s="341">
        <v>276899</v>
      </c>
      <c r="P20" s="340">
        <v>285833</v>
      </c>
      <c r="Q20" s="340">
        <v>278366</v>
      </c>
      <c r="R20" s="340">
        <v>341871</v>
      </c>
      <c r="S20" s="326">
        <f aca="true" t="shared" si="10" ref="S20:S26">SUM(G20:R20)</f>
        <v>3276300</v>
      </c>
      <c r="T20" s="326">
        <f t="shared" si="7"/>
        <v>105.41180195206326</v>
      </c>
    </row>
    <row r="21" spans="1:20" ht="15">
      <c r="A21" s="297"/>
      <c r="B21" s="35" t="s">
        <v>17</v>
      </c>
      <c r="C21" s="339">
        <f>C19+C20</f>
        <v>10656330</v>
      </c>
      <c r="D21" s="339">
        <f>D19+D20</f>
        <v>10656330</v>
      </c>
      <c r="E21" s="334" t="e">
        <f>SUM(C21/#REF!*100)</f>
        <v>#REF!</v>
      </c>
      <c r="F21" s="323" t="e">
        <f>SUM(D21-#REF!)</f>
        <v>#REF!</v>
      </c>
      <c r="G21" s="340">
        <f>SUM(G19:G20)</f>
        <v>964107</v>
      </c>
      <c r="H21" s="340">
        <f aca="true" t="shared" si="11" ref="H21:R21">SUM(H19:H20)</f>
        <v>865104</v>
      </c>
      <c r="I21" s="340">
        <f t="shared" si="11"/>
        <v>744360</v>
      </c>
      <c r="J21" s="340">
        <f t="shared" si="11"/>
        <v>858129</v>
      </c>
      <c r="K21" s="340">
        <f t="shared" si="11"/>
        <v>893518</v>
      </c>
      <c r="L21" s="340">
        <f t="shared" si="11"/>
        <v>927927</v>
      </c>
      <c r="M21" s="340">
        <f>SUM(M19:M20)</f>
        <v>953882</v>
      </c>
      <c r="N21" s="340">
        <f>SUM(N19:N20)</f>
        <v>915721</v>
      </c>
      <c r="O21" s="341">
        <f>SUM(O19:O20)</f>
        <v>938604</v>
      </c>
      <c r="P21" s="340">
        <f t="shared" si="11"/>
        <v>965544</v>
      </c>
      <c r="Q21" s="340">
        <f t="shared" si="11"/>
        <v>947460</v>
      </c>
      <c r="R21" s="340">
        <f t="shared" si="11"/>
        <v>1162802</v>
      </c>
      <c r="S21" s="326">
        <f t="shared" si="10"/>
        <v>11137158</v>
      </c>
      <c r="T21" s="326">
        <f t="shared" si="7"/>
        <v>104.51213504086303</v>
      </c>
    </row>
    <row r="22" spans="1:20" ht="15">
      <c r="A22" s="297"/>
      <c r="B22" s="35" t="s">
        <v>18</v>
      </c>
      <c r="C22" s="339">
        <v>468736</v>
      </c>
      <c r="D22" s="339">
        <v>468736</v>
      </c>
      <c r="E22" s="342" t="e">
        <f>SUM(C22/#REF!*100)</f>
        <v>#REF!</v>
      </c>
      <c r="F22" s="323" t="e">
        <f>SUM(D22-#REF!)</f>
        <v>#REF!</v>
      </c>
      <c r="G22" s="340">
        <v>38048</v>
      </c>
      <c r="H22" s="340">
        <v>37107</v>
      </c>
      <c r="I22" s="340">
        <v>38437</v>
      </c>
      <c r="J22" s="340">
        <v>38833</v>
      </c>
      <c r="K22" s="340">
        <v>38920</v>
      </c>
      <c r="L22" s="340">
        <v>37928</v>
      </c>
      <c r="M22" s="340">
        <v>40288</v>
      </c>
      <c r="N22" s="340">
        <v>41453</v>
      </c>
      <c r="O22" s="341">
        <v>42088</v>
      </c>
      <c r="P22" s="340">
        <v>42728</v>
      </c>
      <c r="Q22" s="340">
        <v>41679</v>
      </c>
      <c r="R22" s="340">
        <v>48125</v>
      </c>
      <c r="S22" s="326">
        <f t="shared" si="10"/>
        <v>485634</v>
      </c>
      <c r="T22" s="326">
        <f t="shared" si="7"/>
        <v>103.6050143364282</v>
      </c>
    </row>
    <row r="23" spans="1:20" ht="15">
      <c r="A23" s="297"/>
      <c r="B23" s="35" t="s">
        <v>72</v>
      </c>
      <c r="C23" s="339">
        <v>43776</v>
      </c>
      <c r="D23" s="339">
        <v>43776</v>
      </c>
      <c r="E23" s="334"/>
      <c r="F23" s="323" t="e">
        <f>SUM(D23-#REF!)</f>
        <v>#REF!</v>
      </c>
      <c r="G23" s="340">
        <v>2582</v>
      </c>
      <c r="H23" s="340">
        <v>2753</v>
      </c>
      <c r="I23" s="340">
        <v>3216</v>
      </c>
      <c r="J23" s="340">
        <v>3621</v>
      </c>
      <c r="K23" s="340">
        <v>4001</v>
      </c>
      <c r="L23" s="340">
        <v>4238</v>
      </c>
      <c r="M23" s="340">
        <v>4778</v>
      </c>
      <c r="N23" s="340">
        <v>4638</v>
      </c>
      <c r="O23" s="341">
        <v>4950</v>
      </c>
      <c r="P23" s="340">
        <v>5241</v>
      </c>
      <c r="Q23" s="340">
        <v>5346</v>
      </c>
      <c r="R23" s="340">
        <v>5854</v>
      </c>
      <c r="S23" s="326">
        <f t="shared" si="10"/>
        <v>51218</v>
      </c>
      <c r="T23" s="326">
        <f t="shared" si="7"/>
        <v>117.00018274853801</v>
      </c>
    </row>
    <row r="24" spans="1:20" ht="15">
      <c r="A24" s="297"/>
      <c r="B24" s="34" t="s">
        <v>19</v>
      </c>
      <c r="C24" s="337">
        <v>653086</v>
      </c>
      <c r="D24" s="337">
        <v>653086</v>
      </c>
      <c r="E24" s="322" t="e">
        <f>SUM(C24/#REF!*100)</f>
        <v>#REF!</v>
      </c>
      <c r="F24" s="323" t="e">
        <f>SUM(D24-#REF!)</f>
        <v>#REF!</v>
      </c>
      <c r="G24" s="330">
        <f aca="true" t="shared" si="12" ref="G24:R24">SUM(G25:G26)</f>
        <v>53808</v>
      </c>
      <c r="H24" s="330">
        <f t="shared" si="12"/>
        <v>-9911</v>
      </c>
      <c r="I24" s="330">
        <f t="shared" si="12"/>
        <v>112857</v>
      </c>
      <c r="J24" s="330">
        <f t="shared" si="12"/>
        <v>36700</v>
      </c>
      <c r="K24" s="330">
        <f t="shared" si="12"/>
        <v>24145</v>
      </c>
      <c r="L24" s="330">
        <f t="shared" si="12"/>
        <v>17585</v>
      </c>
      <c r="M24" s="330">
        <f t="shared" si="12"/>
        <v>23204</v>
      </c>
      <c r="N24" s="330">
        <f t="shared" si="12"/>
        <v>22487</v>
      </c>
      <c r="O24" s="331">
        <f t="shared" si="12"/>
        <v>28404</v>
      </c>
      <c r="P24" s="330">
        <f t="shared" si="12"/>
        <v>181352</v>
      </c>
      <c r="Q24" s="330">
        <f t="shared" si="12"/>
        <v>98715</v>
      </c>
      <c r="R24" s="330">
        <f t="shared" si="12"/>
        <v>117569</v>
      </c>
      <c r="S24" s="317">
        <f>SUM(G24:R24)</f>
        <v>706915</v>
      </c>
      <c r="T24" s="326">
        <f t="shared" si="7"/>
        <v>108.24225293452929</v>
      </c>
    </row>
    <row r="25" spans="1:20" ht="15">
      <c r="A25" s="297"/>
      <c r="B25" s="35" t="s">
        <v>179</v>
      </c>
      <c r="C25" s="339">
        <v>625086</v>
      </c>
      <c r="D25" s="339">
        <v>625086</v>
      </c>
      <c r="E25" s="334" t="e">
        <f>SUM(C25/#REF!*100)</f>
        <v>#REF!</v>
      </c>
      <c r="F25" s="323" t="e">
        <f>SUM(D25-#REF!)</f>
        <v>#REF!</v>
      </c>
      <c r="G25" s="340">
        <v>52986</v>
      </c>
      <c r="H25" s="340">
        <v>-11020</v>
      </c>
      <c r="I25" s="340">
        <v>112124</v>
      </c>
      <c r="J25" s="340">
        <v>35908</v>
      </c>
      <c r="K25" s="340">
        <v>23281</v>
      </c>
      <c r="L25" s="340">
        <v>16897</v>
      </c>
      <c r="M25" s="340">
        <v>22429</v>
      </c>
      <c r="N25" s="340">
        <v>21882</v>
      </c>
      <c r="O25" s="341">
        <v>27797</v>
      </c>
      <c r="P25" s="340">
        <v>180305</v>
      </c>
      <c r="Q25" s="340">
        <v>97946</v>
      </c>
      <c r="R25" s="340">
        <v>116387</v>
      </c>
      <c r="S25" s="326">
        <f t="shared" si="10"/>
        <v>696922</v>
      </c>
      <c r="T25" s="326">
        <f t="shared" si="7"/>
        <v>111.49217867621415</v>
      </c>
    </row>
    <row r="26" spans="1:20" ht="15">
      <c r="A26" s="297"/>
      <c r="B26" s="33" t="s">
        <v>178</v>
      </c>
      <c r="C26" s="339">
        <v>28000</v>
      </c>
      <c r="D26" s="339">
        <v>28000</v>
      </c>
      <c r="E26" s="334" t="e">
        <f>SUM(C26/#REF!*100)</f>
        <v>#REF!</v>
      </c>
      <c r="F26" s="343" t="e">
        <f>SUM(D26-#REF!)</f>
        <v>#REF!</v>
      </c>
      <c r="G26" s="344">
        <v>822</v>
      </c>
      <c r="H26" s="340">
        <v>1109</v>
      </c>
      <c r="I26" s="340">
        <v>733</v>
      </c>
      <c r="J26" s="340">
        <v>792</v>
      </c>
      <c r="K26" s="340">
        <v>864</v>
      </c>
      <c r="L26" s="340">
        <v>688</v>
      </c>
      <c r="M26" s="341">
        <v>775</v>
      </c>
      <c r="N26" s="341">
        <v>605</v>
      </c>
      <c r="O26" s="341">
        <v>607</v>
      </c>
      <c r="P26" s="340">
        <v>1047</v>
      </c>
      <c r="Q26" s="340">
        <v>769</v>
      </c>
      <c r="R26" s="340">
        <v>1182</v>
      </c>
      <c r="S26" s="326">
        <f t="shared" si="10"/>
        <v>9993</v>
      </c>
      <c r="T26" s="326">
        <f t="shared" si="7"/>
        <v>35.68928571428571</v>
      </c>
    </row>
    <row r="27" spans="1:20" ht="15">
      <c r="A27" s="296"/>
      <c r="B27" s="17" t="s">
        <v>108</v>
      </c>
      <c r="C27" s="345">
        <v>971441</v>
      </c>
      <c r="D27" s="345">
        <v>971441</v>
      </c>
      <c r="E27" s="322" t="e">
        <f>SUM(C27/#REF!*100)</f>
        <v>#REF!</v>
      </c>
      <c r="F27" s="343" t="e">
        <f>SUM(D27-#REF!)</f>
        <v>#REF!</v>
      </c>
      <c r="G27" s="346">
        <v>161906</v>
      </c>
      <c r="H27" s="347">
        <v>80953</v>
      </c>
      <c r="I27" s="347">
        <v>144071</v>
      </c>
      <c r="J27" s="347">
        <v>80955</v>
      </c>
      <c r="K27" s="347">
        <v>103865</v>
      </c>
      <c r="L27" s="347">
        <v>80953</v>
      </c>
      <c r="M27" s="347">
        <v>80953</v>
      </c>
      <c r="N27" s="347">
        <v>0</v>
      </c>
      <c r="O27" s="348">
        <v>180714</v>
      </c>
      <c r="P27" s="347">
        <v>80954</v>
      </c>
      <c r="Q27" s="347">
        <v>39236</v>
      </c>
      <c r="R27" s="347">
        <v>0</v>
      </c>
      <c r="S27" s="317">
        <f>SUM(G27:R27)</f>
        <v>1034560</v>
      </c>
      <c r="T27" s="326">
        <f t="shared" si="7"/>
        <v>106.49746098836677</v>
      </c>
    </row>
    <row r="28" spans="1:20" ht="15">
      <c r="A28" s="296"/>
      <c r="B28" s="17" t="s">
        <v>109</v>
      </c>
      <c r="C28" s="345">
        <v>163296</v>
      </c>
      <c r="D28" s="345">
        <v>163296</v>
      </c>
      <c r="E28" s="322" t="e">
        <f>SUM(C28/#REF!*100)</f>
        <v>#REF!</v>
      </c>
      <c r="F28" s="343" t="e">
        <f>SUM(D28-#REF!)</f>
        <v>#REF!</v>
      </c>
      <c r="G28" s="346">
        <v>12173</v>
      </c>
      <c r="H28" s="347">
        <v>14530</v>
      </c>
      <c r="I28" s="347">
        <v>14452</v>
      </c>
      <c r="J28" s="347">
        <v>13437</v>
      </c>
      <c r="K28" s="347">
        <v>11873</v>
      </c>
      <c r="L28" s="347">
        <v>10731</v>
      </c>
      <c r="M28" s="347">
        <v>10203</v>
      </c>
      <c r="N28" s="347">
        <v>9966</v>
      </c>
      <c r="O28" s="348">
        <v>9710</v>
      </c>
      <c r="P28" s="347">
        <v>9537</v>
      </c>
      <c r="Q28" s="347">
        <v>9447</v>
      </c>
      <c r="R28" s="347">
        <v>10669</v>
      </c>
      <c r="S28" s="317">
        <f>SUM(G28:R28)</f>
        <v>136728</v>
      </c>
      <c r="T28" s="326">
        <f t="shared" si="7"/>
        <v>83.73015873015873</v>
      </c>
    </row>
    <row r="29" spans="1:20" ht="15">
      <c r="A29" s="296"/>
      <c r="B29" s="34" t="s">
        <v>111</v>
      </c>
      <c r="C29" s="337"/>
      <c r="D29" s="337"/>
      <c r="E29" s="322"/>
      <c r="F29" s="343" t="e">
        <f>SUM(D29-#REF!)</f>
        <v>#REF!</v>
      </c>
      <c r="G29" s="349"/>
      <c r="H29" s="330"/>
      <c r="I29" s="330"/>
      <c r="J29" s="330"/>
      <c r="K29" s="330"/>
      <c r="L29" s="330"/>
      <c r="M29" s="330"/>
      <c r="N29" s="330"/>
      <c r="O29" s="331"/>
      <c r="P29" s="330"/>
      <c r="Q29" s="330"/>
      <c r="R29" s="330"/>
      <c r="S29" s="326">
        <f>H29+G29+I29+J29+K29+L29+M29+N29+O29</f>
        <v>0</v>
      </c>
      <c r="T29" s="326"/>
    </row>
    <row r="30" spans="1:20" ht="15">
      <c r="A30" s="295" t="s">
        <v>112</v>
      </c>
      <c r="B30" s="33" t="s">
        <v>35</v>
      </c>
      <c r="C30" s="345">
        <f>C31+C41+C42</f>
        <v>77868604</v>
      </c>
      <c r="D30" s="345">
        <f>D31+D41+D42</f>
        <v>77868604</v>
      </c>
      <c r="E30" s="322" t="e">
        <f>SUM(C30/#REF!*100)</f>
        <v>#REF!</v>
      </c>
      <c r="F30" s="343" t="e">
        <f>SUM(D30-#REF!)</f>
        <v>#REF!</v>
      </c>
      <c r="G30" s="346">
        <f aca="true" t="shared" si="13" ref="G30:R30">SUM(G31+G41+G42)</f>
        <v>6821125</v>
      </c>
      <c r="H30" s="347">
        <f t="shared" si="13"/>
        <v>5851467</v>
      </c>
      <c r="I30" s="347">
        <f t="shared" si="13"/>
        <v>5512444</v>
      </c>
      <c r="J30" s="347">
        <f t="shared" si="13"/>
        <v>6017883</v>
      </c>
      <c r="K30" s="347">
        <f t="shared" si="13"/>
        <v>6260705</v>
      </c>
      <c r="L30" s="347">
        <f t="shared" si="13"/>
        <v>6371012</v>
      </c>
      <c r="M30" s="347">
        <f t="shared" si="13"/>
        <v>6562563</v>
      </c>
      <c r="N30" s="347">
        <f t="shared" si="13"/>
        <v>5803865</v>
      </c>
      <c r="O30" s="348">
        <f t="shared" si="13"/>
        <v>7089133</v>
      </c>
      <c r="P30" s="347">
        <f t="shared" si="13"/>
        <v>6871594</v>
      </c>
      <c r="Q30" s="347">
        <f t="shared" si="13"/>
        <v>6647377</v>
      </c>
      <c r="R30" s="347">
        <f t="shared" si="13"/>
        <v>7666424</v>
      </c>
      <c r="S30" s="332">
        <f>SUM(G30:R30)</f>
        <v>77475592</v>
      </c>
      <c r="T30" s="326">
        <f t="shared" si="7"/>
        <v>99.49528824222918</v>
      </c>
    </row>
    <row r="31" spans="1:20" ht="15">
      <c r="A31" s="296"/>
      <c r="B31" s="17" t="s">
        <v>113</v>
      </c>
      <c r="C31" s="345">
        <f>C32+C38</f>
        <v>70192623</v>
      </c>
      <c r="D31" s="345">
        <f>D32+D38</f>
        <v>70192623</v>
      </c>
      <c r="E31" s="334" t="e">
        <f>SUM(C31/#REF!*100)</f>
        <v>#REF!</v>
      </c>
      <c r="F31" s="343" t="e">
        <f>SUM(D31-#REF!)</f>
        <v>#REF!</v>
      </c>
      <c r="G31" s="346">
        <f aca="true" t="shared" si="14" ref="G31:R31">SUM(G32+G38)</f>
        <v>5629621</v>
      </c>
      <c r="H31" s="347">
        <f t="shared" si="14"/>
        <v>5206511</v>
      </c>
      <c r="I31" s="347">
        <f t="shared" si="14"/>
        <v>5243705</v>
      </c>
      <c r="J31" s="347">
        <f t="shared" si="14"/>
        <v>5379297</v>
      </c>
      <c r="K31" s="347">
        <f t="shared" si="14"/>
        <v>5567074</v>
      </c>
      <c r="L31" s="347">
        <f t="shared" si="14"/>
        <v>5748194</v>
      </c>
      <c r="M31" s="347">
        <f t="shared" si="14"/>
        <v>5942959</v>
      </c>
      <c r="N31" s="347">
        <f t="shared" si="14"/>
        <v>5745866</v>
      </c>
      <c r="O31" s="348">
        <f t="shared" si="14"/>
        <v>5893185</v>
      </c>
      <c r="P31" s="347">
        <f t="shared" si="14"/>
        <v>6255731</v>
      </c>
      <c r="Q31" s="347">
        <f t="shared" si="14"/>
        <v>6114218</v>
      </c>
      <c r="R31" s="347">
        <f t="shared" si="14"/>
        <v>7604239</v>
      </c>
      <c r="S31" s="332">
        <f>SUM(G31:R31)</f>
        <v>70330600</v>
      </c>
      <c r="T31" s="326">
        <f t="shared" si="7"/>
        <v>100.19656908960361</v>
      </c>
    </row>
    <row r="32" spans="1:20" ht="15">
      <c r="A32" s="297"/>
      <c r="B32" s="34" t="s">
        <v>114</v>
      </c>
      <c r="C32" s="337">
        <f>C35+C36+C37</f>
        <v>65167709</v>
      </c>
      <c r="D32" s="337">
        <f>D35+D36+D37</f>
        <v>65167709</v>
      </c>
      <c r="E32" s="322" t="e">
        <f>SUM(C32/#REF!*100)</f>
        <v>#REF!</v>
      </c>
      <c r="F32" s="343" t="e">
        <f>SUM(D32-#REF!)</f>
        <v>#REF!</v>
      </c>
      <c r="G32" s="349">
        <f aca="true" t="shared" si="15" ref="G32:R32">SUM(G35:G37)</f>
        <v>5365323</v>
      </c>
      <c r="H32" s="330">
        <f t="shared" si="15"/>
        <v>5224033</v>
      </c>
      <c r="I32" s="330">
        <f t="shared" si="15"/>
        <v>4620730</v>
      </c>
      <c r="J32" s="330">
        <f t="shared" si="15"/>
        <v>5250026</v>
      </c>
      <c r="K32" s="330">
        <f t="shared" si="15"/>
        <v>5444713</v>
      </c>
      <c r="L32" s="330">
        <f t="shared" si="15"/>
        <v>5642332</v>
      </c>
      <c r="M32" s="330">
        <f t="shared" si="15"/>
        <v>5807946</v>
      </c>
      <c r="N32" s="330">
        <f t="shared" si="15"/>
        <v>5612306</v>
      </c>
      <c r="O32" s="331">
        <f t="shared" si="15"/>
        <v>5724357</v>
      </c>
      <c r="P32" s="330">
        <f t="shared" si="15"/>
        <v>5883259</v>
      </c>
      <c r="Q32" s="330">
        <f t="shared" si="15"/>
        <v>5789064</v>
      </c>
      <c r="R32" s="330">
        <f t="shared" si="15"/>
        <v>7076812</v>
      </c>
      <c r="S32" s="317">
        <f>SUM(G32:R32)</f>
        <v>67440901</v>
      </c>
      <c r="T32" s="326">
        <f t="shared" si="7"/>
        <v>103.4882183751465</v>
      </c>
    </row>
    <row r="33" spans="1:20" ht="15">
      <c r="A33" s="297"/>
      <c r="B33" s="33" t="s">
        <v>15</v>
      </c>
      <c r="C33" s="339">
        <v>47953489</v>
      </c>
      <c r="D33" s="339">
        <v>47953489</v>
      </c>
      <c r="E33" s="334" t="e">
        <f>SUM(C33/#REF!*100)</f>
        <v>#REF!</v>
      </c>
      <c r="F33" s="343" t="e">
        <f>SUM(D33-#REF!)</f>
        <v>#REF!</v>
      </c>
      <c r="G33" s="344">
        <v>3818477</v>
      </c>
      <c r="H33" s="340">
        <v>3941227</v>
      </c>
      <c r="I33" s="340">
        <v>3272277</v>
      </c>
      <c r="J33" s="340">
        <v>3850504</v>
      </c>
      <c r="K33" s="340">
        <v>3999441</v>
      </c>
      <c r="L33" s="340">
        <v>4156801</v>
      </c>
      <c r="M33" s="340">
        <v>4271335</v>
      </c>
      <c r="N33" s="340">
        <v>4110024</v>
      </c>
      <c r="O33" s="341">
        <v>4199261</v>
      </c>
      <c r="P33" s="340">
        <v>4315519</v>
      </c>
      <c r="Q33" s="340">
        <v>4251819</v>
      </c>
      <c r="R33" s="340">
        <v>5213132</v>
      </c>
      <c r="S33" s="326">
        <f>SUM(G33:R33)</f>
        <v>49399817</v>
      </c>
      <c r="T33" s="326">
        <f t="shared" si="7"/>
        <v>103.01610587709268</v>
      </c>
    </row>
    <row r="34" spans="1:20" ht="15">
      <c r="A34" s="297"/>
      <c r="B34" s="35" t="s">
        <v>16</v>
      </c>
      <c r="C34" s="339">
        <v>14208441</v>
      </c>
      <c r="D34" s="339">
        <v>14208441</v>
      </c>
      <c r="E34" s="334" t="e">
        <f>SUM(C34/#REF!*100)</f>
        <v>#REF!</v>
      </c>
      <c r="F34" s="343" t="e">
        <f>SUM(D34-#REF!)</f>
        <v>#REF!</v>
      </c>
      <c r="G34" s="344">
        <v>1288368</v>
      </c>
      <c r="H34" s="340">
        <v>1045220</v>
      </c>
      <c r="I34" s="340">
        <v>1101396</v>
      </c>
      <c r="J34" s="340">
        <v>1146651</v>
      </c>
      <c r="K34" s="340">
        <v>1192999</v>
      </c>
      <c r="L34" s="340">
        <v>1239106</v>
      </c>
      <c r="M34" s="340">
        <v>1274870</v>
      </c>
      <c r="N34" s="340">
        <v>1225971</v>
      </c>
      <c r="O34" s="341">
        <v>1254157</v>
      </c>
      <c r="P34" s="340">
        <v>1287156</v>
      </c>
      <c r="Q34" s="340">
        <v>1267658</v>
      </c>
      <c r="R34" s="340">
        <v>1554045</v>
      </c>
      <c r="S34" s="326">
        <f aca="true" t="shared" si="16" ref="S34:S44">SUM(G34:R34)</f>
        <v>14877597</v>
      </c>
      <c r="T34" s="326">
        <f t="shared" si="7"/>
        <v>104.7095666582984</v>
      </c>
    </row>
    <row r="35" spans="1:20" ht="15">
      <c r="A35" s="297"/>
      <c r="B35" s="35" t="s">
        <v>17</v>
      </c>
      <c r="C35" s="339">
        <f>C33+C34</f>
        <v>62161930</v>
      </c>
      <c r="D35" s="339">
        <f>D33+D34</f>
        <v>62161930</v>
      </c>
      <c r="E35" s="334" t="e">
        <f>SUM(C35/#REF!*100)</f>
        <v>#REF!</v>
      </c>
      <c r="F35" s="343" t="e">
        <f>SUM(D35-#REF!)</f>
        <v>#REF!</v>
      </c>
      <c r="G35" s="344">
        <f>SUM(G33:G34)</f>
        <v>5106845</v>
      </c>
      <c r="H35" s="340">
        <f>SUM(H33:H34)</f>
        <v>4986447</v>
      </c>
      <c r="I35" s="340">
        <f>SUM(I33:I34)</f>
        <v>4373673</v>
      </c>
      <c r="J35" s="340">
        <f>SUM(J33:J34)</f>
        <v>4997155</v>
      </c>
      <c r="K35" s="340">
        <f aca="true" t="shared" si="17" ref="K35:R35">SUM(K33:K34)</f>
        <v>5192440</v>
      </c>
      <c r="L35" s="340">
        <f t="shared" si="17"/>
        <v>5395907</v>
      </c>
      <c r="M35" s="340">
        <f>SUM(M33:M34)</f>
        <v>5546205</v>
      </c>
      <c r="N35" s="340">
        <f>SUM(N33:N34)</f>
        <v>5335995</v>
      </c>
      <c r="O35" s="341">
        <f>SUM(O33:O34)</f>
        <v>5453418</v>
      </c>
      <c r="P35" s="340">
        <f t="shared" si="17"/>
        <v>5602675</v>
      </c>
      <c r="Q35" s="340">
        <f t="shared" si="17"/>
        <v>5519477</v>
      </c>
      <c r="R35" s="340">
        <f t="shared" si="17"/>
        <v>6767177</v>
      </c>
      <c r="S35" s="326">
        <f t="shared" si="16"/>
        <v>64277414</v>
      </c>
      <c r="T35" s="326">
        <f t="shared" si="7"/>
        <v>103.40318262319074</v>
      </c>
    </row>
    <row r="36" spans="1:20" ht="15">
      <c r="A36" s="297"/>
      <c r="B36" s="35" t="s">
        <v>18</v>
      </c>
      <c r="C36" s="339">
        <v>2734291</v>
      </c>
      <c r="D36" s="339">
        <v>2734291</v>
      </c>
      <c r="E36" s="334" t="e">
        <f>SUM(C36/#REF!*100)</f>
        <v>#REF!</v>
      </c>
      <c r="F36" s="343" t="e">
        <f>SUM(D36-#REF!)</f>
        <v>#REF!</v>
      </c>
      <c r="G36" s="344">
        <v>222013</v>
      </c>
      <c r="H36" s="340">
        <v>216273</v>
      </c>
      <c r="I36" s="340">
        <v>223895</v>
      </c>
      <c r="J36" s="340">
        <v>226254</v>
      </c>
      <c r="K36" s="340">
        <v>226638</v>
      </c>
      <c r="L36" s="340">
        <v>220498</v>
      </c>
      <c r="M36" s="340">
        <v>234086</v>
      </c>
      <c r="N36" s="340">
        <v>241662</v>
      </c>
      <c r="O36" s="341">
        <v>245230</v>
      </c>
      <c r="P36" s="340">
        <v>249098</v>
      </c>
      <c r="Q36" s="340">
        <v>242886</v>
      </c>
      <c r="R36" s="340">
        <v>280404</v>
      </c>
      <c r="S36" s="326">
        <f t="shared" si="16"/>
        <v>2828937</v>
      </c>
      <c r="T36" s="326">
        <f t="shared" si="7"/>
        <v>103.4614457641853</v>
      </c>
    </row>
    <row r="37" spans="1:20" ht="15">
      <c r="A37" s="297"/>
      <c r="B37" s="33" t="s">
        <v>73</v>
      </c>
      <c r="C37" s="339">
        <f>16128+255360</f>
        <v>271488</v>
      </c>
      <c r="D37" s="339">
        <f>16128+255360</f>
        <v>271488</v>
      </c>
      <c r="E37" s="334" t="e">
        <f>SUM(C37/#REF!*100)</f>
        <v>#REF!</v>
      </c>
      <c r="F37" s="343" t="e">
        <f>SUM(D37-#REF!)</f>
        <v>#REF!</v>
      </c>
      <c r="G37" s="344">
        <f>638+35827</f>
        <v>36465</v>
      </c>
      <c r="H37" s="340">
        <f>578+20735</f>
        <v>21313</v>
      </c>
      <c r="I37" s="340">
        <f>561+22601</f>
        <v>23162</v>
      </c>
      <c r="J37" s="340">
        <f>570+26047</f>
        <v>26617</v>
      </c>
      <c r="K37" s="340">
        <f>541+25094</f>
        <v>25635</v>
      </c>
      <c r="L37" s="340">
        <f>25445+482</f>
        <v>25927</v>
      </c>
      <c r="M37" s="340">
        <f>27050+605</f>
        <v>27655</v>
      </c>
      <c r="N37" s="340">
        <f>34089+560</f>
        <v>34649</v>
      </c>
      <c r="O37" s="341">
        <f>25206+503</f>
        <v>25709</v>
      </c>
      <c r="P37" s="340">
        <f>533+30953</f>
        <v>31486</v>
      </c>
      <c r="Q37" s="340">
        <f>442+26259</f>
        <v>26701</v>
      </c>
      <c r="R37" s="340">
        <f>492+28739</f>
        <v>29231</v>
      </c>
      <c r="S37" s="326">
        <f t="shared" si="16"/>
        <v>334550</v>
      </c>
      <c r="T37" s="326">
        <f t="shared" si="7"/>
        <v>123.22828264969354</v>
      </c>
    </row>
    <row r="38" spans="1:20" ht="15">
      <c r="A38" s="297"/>
      <c r="B38" s="34" t="s">
        <v>19</v>
      </c>
      <c r="C38" s="337">
        <v>5024914</v>
      </c>
      <c r="D38" s="337">
        <v>5024914</v>
      </c>
      <c r="E38" s="322" t="e">
        <f>SUM(C38/#REF!*100)</f>
        <v>#REF!</v>
      </c>
      <c r="F38" s="343" t="e">
        <f>SUM(D38-#REF!)</f>
        <v>#REF!</v>
      </c>
      <c r="G38" s="349">
        <f aca="true" t="shared" si="18" ref="G38:R38">SUM(G39:G40)</f>
        <v>264298</v>
      </c>
      <c r="H38" s="330">
        <f t="shared" si="18"/>
        <v>-17522</v>
      </c>
      <c r="I38" s="330">
        <f t="shared" si="18"/>
        <v>622975</v>
      </c>
      <c r="J38" s="330">
        <f t="shared" si="18"/>
        <v>129271</v>
      </c>
      <c r="K38" s="330">
        <f t="shared" si="18"/>
        <v>122361</v>
      </c>
      <c r="L38" s="330">
        <f t="shared" si="18"/>
        <v>105862</v>
      </c>
      <c r="M38" s="330">
        <f t="shared" si="18"/>
        <v>135013</v>
      </c>
      <c r="N38" s="330">
        <f t="shared" si="18"/>
        <v>133560</v>
      </c>
      <c r="O38" s="331">
        <f t="shared" si="18"/>
        <v>168828</v>
      </c>
      <c r="P38" s="330">
        <f t="shared" si="18"/>
        <v>372472</v>
      </c>
      <c r="Q38" s="330">
        <f t="shared" si="18"/>
        <v>325154</v>
      </c>
      <c r="R38" s="330">
        <f t="shared" si="18"/>
        <v>527427</v>
      </c>
      <c r="S38" s="317">
        <f>SUM(G38:R38)</f>
        <v>2889699</v>
      </c>
      <c r="T38" s="326">
        <f t="shared" si="7"/>
        <v>57.507431967989895</v>
      </c>
    </row>
    <row r="39" spans="1:20" ht="15">
      <c r="A39" s="297"/>
      <c r="B39" s="35" t="s">
        <v>20</v>
      </c>
      <c r="C39" s="339">
        <v>4854914</v>
      </c>
      <c r="D39" s="339">
        <v>485914</v>
      </c>
      <c r="E39" s="334" t="e">
        <f>SUM(C39/#REF!*100)</f>
        <v>#REF!</v>
      </c>
      <c r="F39" s="343" t="e">
        <f>SUM(D39-#REF!)</f>
        <v>#REF!</v>
      </c>
      <c r="G39" s="344">
        <v>259573</v>
      </c>
      <c r="H39" s="340">
        <v>-23949</v>
      </c>
      <c r="I39" s="340">
        <v>618847</v>
      </c>
      <c r="J39" s="340">
        <v>124691</v>
      </c>
      <c r="K39" s="340">
        <v>117371</v>
      </c>
      <c r="L39" s="340">
        <v>101898</v>
      </c>
      <c r="M39" s="340">
        <v>130543</v>
      </c>
      <c r="N39" s="340">
        <v>130082</v>
      </c>
      <c r="O39" s="341">
        <v>165295</v>
      </c>
      <c r="P39" s="340">
        <v>366464</v>
      </c>
      <c r="Q39" s="340">
        <v>320857</v>
      </c>
      <c r="R39" s="340">
        <v>520565</v>
      </c>
      <c r="S39" s="326">
        <f t="shared" si="16"/>
        <v>2832237</v>
      </c>
      <c r="T39" s="326">
        <f t="shared" si="7"/>
        <v>58.33753182857616</v>
      </c>
    </row>
    <row r="40" spans="1:20" ht="15">
      <c r="A40" s="297"/>
      <c r="B40" s="33" t="s">
        <v>21</v>
      </c>
      <c r="C40" s="339">
        <v>170000</v>
      </c>
      <c r="D40" s="339">
        <v>170000</v>
      </c>
      <c r="E40" s="334" t="e">
        <f>SUM(C40/#REF!*100)</f>
        <v>#REF!</v>
      </c>
      <c r="F40" s="343" t="e">
        <f>SUM(D40-#REF!)</f>
        <v>#REF!</v>
      </c>
      <c r="G40" s="344">
        <v>4725</v>
      </c>
      <c r="H40" s="340">
        <v>6427</v>
      </c>
      <c r="I40" s="340">
        <v>4128</v>
      </c>
      <c r="J40" s="340">
        <v>4580</v>
      </c>
      <c r="K40" s="340">
        <v>4990</v>
      </c>
      <c r="L40" s="340">
        <v>3964</v>
      </c>
      <c r="M40" s="340">
        <v>4470</v>
      </c>
      <c r="N40" s="340">
        <v>3478</v>
      </c>
      <c r="O40" s="341">
        <v>3533</v>
      </c>
      <c r="P40" s="340">
        <v>6008</v>
      </c>
      <c r="Q40" s="340">
        <v>4297</v>
      </c>
      <c r="R40" s="340">
        <v>6862</v>
      </c>
      <c r="S40" s="326">
        <f t="shared" si="16"/>
        <v>57462</v>
      </c>
      <c r="T40" s="326">
        <f t="shared" si="7"/>
        <v>33.80117647058823</v>
      </c>
    </row>
    <row r="41" spans="1:20" ht="15">
      <c r="A41" s="296"/>
      <c r="B41" s="17" t="s">
        <v>108</v>
      </c>
      <c r="C41" s="345">
        <v>6723421</v>
      </c>
      <c r="D41" s="345">
        <v>6723421</v>
      </c>
      <c r="E41" s="322" t="e">
        <f>SUM(C41/#REF!*100)</f>
        <v>#REF!</v>
      </c>
      <c r="F41" s="343" t="e">
        <f>SUM(D41-#REF!)</f>
        <v>#REF!</v>
      </c>
      <c r="G41" s="346">
        <v>1120570</v>
      </c>
      <c r="H41" s="347">
        <v>560285</v>
      </c>
      <c r="I41" s="347">
        <v>184497</v>
      </c>
      <c r="J41" s="347">
        <v>560285</v>
      </c>
      <c r="K41" s="347">
        <v>624611</v>
      </c>
      <c r="L41" s="347">
        <v>560285</v>
      </c>
      <c r="M41" s="347">
        <v>560285</v>
      </c>
      <c r="N41" s="347">
        <v>0</v>
      </c>
      <c r="O41" s="348">
        <v>1138612</v>
      </c>
      <c r="P41" s="347">
        <v>560285</v>
      </c>
      <c r="Q41" s="347">
        <v>477918</v>
      </c>
      <c r="R41" s="347">
        <v>0</v>
      </c>
      <c r="S41" s="332">
        <f t="shared" si="16"/>
        <v>6347633</v>
      </c>
      <c r="T41" s="326">
        <f t="shared" si="7"/>
        <v>94.41076202129838</v>
      </c>
    </row>
    <row r="42" spans="1:20" ht="15">
      <c r="A42" s="296"/>
      <c r="B42" s="17" t="s">
        <v>115</v>
      </c>
      <c r="C42" s="345">
        <v>952560</v>
      </c>
      <c r="D42" s="345">
        <v>952560</v>
      </c>
      <c r="E42" s="322" t="e">
        <f>SUM(C42/#REF!*100)</f>
        <v>#REF!</v>
      </c>
      <c r="F42" s="343" t="e">
        <f>SUM(D42-#REF!)</f>
        <v>#REF!</v>
      </c>
      <c r="G42" s="346">
        <v>70934</v>
      </c>
      <c r="H42" s="347">
        <v>84671</v>
      </c>
      <c r="I42" s="347">
        <v>84242</v>
      </c>
      <c r="J42" s="347">
        <v>78301</v>
      </c>
      <c r="K42" s="347">
        <v>69020</v>
      </c>
      <c r="L42" s="347">
        <v>62533</v>
      </c>
      <c r="M42" s="347">
        <v>59319</v>
      </c>
      <c r="N42" s="347">
        <v>57999</v>
      </c>
      <c r="O42" s="348">
        <v>57336</v>
      </c>
      <c r="P42" s="347">
        <v>55578</v>
      </c>
      <c r="Q42" s="347">
        <v>55241</v>
      </c>
      <c r="R42" s="347">
        <v>62185</v>
      </c>
      <c r="S42" s="332">
        <f t="shared" si="16"/>
        <v>797359</v>
      </c>
      <c r="T42" s="326">
        <f t="shared" si="7"/>
        <v>83.70695809187872</v>
      </c>
    </row>
    <row r="43" spans="1:20" ht="15">
      <c r="A43" s="296"/>
      <c r="B43" s="17"/>
      <c r="C43" s="350"/>
      <c r="D43" s="350"/>
      <c r="E43" s="322"/>
      <c r="F43" s="343"/>
      <c r="G43" s="346"/>
      <c r="H43" s="347"/>
      <c r="I43" s="347"/>
      <c r="J43" s="347"/>
      <c r="K43" s="347"/>
      <c r="L43" s="347"/>
      <c r="M43" s="347"/>
      <c r="N43" s="347"/>
      <c r="O43" s="348"/>
      <c r="P43" s="347"/>
      <c r="Q43" s="347"/>
      <c r="R43" s="347"/>
      <c r="S43" s="332"/>
      <c r="T43" s="326"/>
    </row>
    <row r="44" spans="1:20" ht="15">
      <c r="A44" s="294" t="s">
        <v>118</v>
      </c>
      <c r="B44" s="33" t="s">
        <v>135</v>
      </c>
      <c r="C44" s="350">
        <v>638204</v>
      </c>
      <c r="D44" s="350">
        <v>638204</v>
      </c>
      <c r="E44" s="322"/>
      <c r="F44" s="343"/>
      <c r="G44" s="346"/>
      <c r="H44" s="347"/>
      <c r="I44" s="347">
        <v>0</v>
      </c>
      <c r="J44" s="347">
        <f>+J45</f>
        <v>190897</v>
      </c>
      <c r="K44" s="347">
        <f>+K45</f>
        <v>23450</v>
      </c>
      <c r="L44" s="347">
        <v>6137</v>
      </c>
      <c r="M44" s="347">
        <f>+M45</f>
        <v>225200</v>
      </c>
      <c r="N44" s="347">
        <f>+N45</f>
        <v>16146</v>
      </c>
      <c r="O44" s="348">
        <v>4130</v>
      </c>
      <c r="P44" s="347">
        <f>+P45</f>
        <v>231929</v>
      </c>
      <c r="Q44" s="347">
        <f>+Q45</f>
        <v>17208</v>
      </c>
      <c r="R44" s="347">
        <f>+R45</f>
        <v>-184630</v>
      </c>
      <c r="S44" s="332">
        <f t="shared" si="16"/>
        <v>530467</v>
      </c>
      <c r="T44" s="326">
        <f t="shared" si="7"/>
        <v>83.1187206598517</v>
      </c>
    </row>
    <row r="45" spans="1:20" ht="15.75" thickBot="1">
      <c r="A45" s="298"/>
      <c r="B45" s="33" t="s">
        <v>136</v>
      </c>
      <c r="C45" s="351" t="s">
        <v>126</v>
      </c>
      <c r="D45" s="350"/>
      <c r="E45" s="352"/>
      <c r="F45" s="343"/>
      <c r="G45" s="346"/>
      <c r="H45" s="347"/>
      <c r="I45" s="347"/>
      <c r="J45" s="353">
        <v>190897</v>
      </c>
      <c r="K45" s="353">
        <v>23450</v>
      </c>
      <c r="L45" s="353">
        <v>6137</v>
      </c>
      <c r="M45" s="353">
        <v>225200</v>
      </c>
      <c r="N45" s="353">
        <v>16146</v>
      </c>
      <c r="O45" s="354">
        <v>4130</v>
      </c>
      <c r="P45" s="353">
        <v>231929</v>
      </c>
      <c r="Q45" s="353">
        <v>17208</v>
      </c>
      <c r="R45" s="353">
        <v>-184630</v>
      </c>
      <c r="S45" s="352" t="s">
        <v>148</v>
      </c>
      <c r="T45" s="326"/>
    </row>
    <row r="46" spans="1:20" ht="15.75" thickBot="1">
      <c r="A46" s="63" t="s">
        <v>119</v>
      </c>
      <c r="B46" s="299"/>
      <c r="C46" s="351" t="s">
        <v>125</v>
      </c>
      <c r="D46" s="352"/>
      <c r="E46" s="352"/>
      <c r="F46" s="343"/>
      <c r="G46" s="355"/>
      <c r="H46" s="356"/>
      <c r="I46" s="356"/>
      <c r="J46" s="356"/>
      <c r="K46" s="356"/>
      <c r="L46" s="356"/>
      <c r="M46" s="356"/>
      <c r="N46" s="356"/>
      <c r="O46" s="357"/>
      <c r="P46" s="356"/>
      <c r="Q46" s="356"/>
      <c r="R46" s="356"/>
      <c r="S46" s="352" t="s">
        <v>149</v>
      </c>
      <c r="T46" s="326"/>
    </row>
    <row r="47" spans="1:20" ht="15">
      <c r="A47" s="300"/>
      <c r="B47" s="301" t="s">
        <v>124</v>
      </c>
      <c r="C47" s="345">
        <f>+C15</f>
        <v>90825269</v>
      </c>
      <c r="D47" s="345">
        <f>D48+D60+D61</f>
        <v>90825269</v>
      </c>
      <c r="E47" s="345" t="e">
        <f>SUM(C47/#REF!*100)</f>
        <v>#REF!</v>
      </c>
      <c r="F47" s="343" t="e">
        <f>SUM(D47-#REF!)</f>
        <v>#REF!</v>
      </c>
      <c r="G47" s="346">
        <f aca="true" t="shared" si="19" ref="G47:P47">SUM(G48+G60+G61)</f>
        <v>8053749</v>
      </c>
      <c r="H47" s="347">
        <f t="shared" si="19"/>
        <v>6842003</v>
      </c>
      <c r="I47" s="347">
        <f t="shared" si="19"/>
        <v>6569837</v>
      </c>
      <c r="J47" s="347">
        <f t="shared" si="19"/>
        <v>7049558</v>
      </c>
      <c r="K47" s="347">
        <f t="shared" si="19"/>
        <v>7337027</v>
      </c>
      <c r="L47" s="347">
        <f t="shared" si="19"/>
        <v>7450374</v>
      </c>
      <c r="M47" s="347">
        <f>SUM(M48+M60+M61)</f>
        <v>7675871</v>
      </c>
      <c r="N47" s="347">
        <f>SUM(N48+N60+N61)</f>
        <v>6798130</v>
      </c>
      <c r="O47" s="348">
        <f>SUM(O48+O60+O61)</f>
        <v>8293603</v>
      </c>
      <c r="P47" s="347">
        <f t="shared" si="19"/>
        <v>8156950</v>
      </c>
      <c r="Q47" s="347">
        <f>SUM(Q48+Q60+Q61)</f>
        <v>7789260</v>
      </c>
      <c r="R47" s="347">
        <f>SUM(R48+R60+R61)</f>
        <v>9011443</v>
      </c>
      <c r="S47" s="332">
        <f>SUM(G47:R47)</f>
        <v>91027805</v>
      </c>
      <c r="T47" s="326">
        <f t="shared" si="7"/>
        <v>100.22299521072708</v>
      </c>
    </row>
    <row r="48" spans="1:20" ht="15">
      <c r="A48" s="302"/>
      <c r="B48" s="303" t="s">
        <v>84</v>
      </c>
      <c r="C48" s="332">
        <f>SUM(C49+C55)</f>
        <v>82014551</v>
      </c>
      <c r="D48" s="332">
        <f>SUM(D49+D55)</f>
        <v>82014551</v>
      </c>
      <c r="E48" s="345" t="e">
        <f>SUM(C48/#REF!*100)</f>
        <v>#REF!</v>
      </c>
      <c r="F48" s="343" t="e">
        <f>SUM(D48-#REF!)</f>
        <v>#REF!</v>
      </c>
      <c r="G48" s="358">
        <f aca="true" t="shared" si="20" ref="G48:R48">SUM(G49+G55)</f>
        <v>6688166</v>
      </c>
      <c r="H48" s="359">
        <f t="shared" si="20"/>
        <v>6101564</v>
      </c>
      <c r="I48" s="359">
        <f t="shared" si="20"/>
        <v>6142575</v>
      </c>
      <c r="J48" s="359">
        <f t="shared" si="20"/>
        <v>6316580</v>
      </c>
      <c r="K48" s="359">
        <f t="shared" si="20"/>
        <v>6527658</v>
      </c>
      <c r="L48" s="359">
        <f t="shared" si="20"/>
        <v>6735872</v>
      </c>
      <c r="M48" s="359">
        <f t="shared" si="20"/>
        <v>6965111</v>
      </c>
      <c r="N48" s="359">
        <f t="shared" si="20"/>
        <v>6730165</v>
      </c>
      <c r="O48" s="360">
        <f t="shared" si="20"/>
        <v>6907231</v>
      </c>
      <c r="P48" s="359">
        <f t="shared" si="20"/>
        <v>7450596</v>
      </c>
      <c r="Q48" s="359">
        <f t="shared" si="20"/>
        <v>7207418</v>
      </c>
      <c r="R48" s="359">
        <f t="shared" si="20"/>
        <v>8938589</v>
      </c>
      <c r="S48" s="332">
        <f>SUM(G48:R48)</f>
        <v>82711525</v>
      </c>
      <c r="T48" s="326">
        <f t="shared" si="7"/>
        <v>100.8498174915327</v>
      </c>
    </row>
    <row r="49" spans="1:20" ht="15">
      <c r="A49" s="293"/>
      <c r="B49" s="38" t="s">
        <v>85</v>
      </c>
      <c r="C49" s="322">
        <f>SUM(C32+C18)</f>
        <v>76336551</v>
      </c>
      <c r="D49" s="322">
        <f>SUM(D32+D18)</f>
        <v>76336551</v>
      </c>
      <c r="E49" s="345" t="e">
        <f>SUM(C49/#REF!*100)</f>
        <v>#REF!</v>
      </c>
      <c r="F49" s="343" t="e">
        <f>SUM(D49-#REF!)</f>
        <v>#REF!</v>
      </c>
      <c r="G49" s="361">
        <f aca="true" t="shared" si="21" ref="G49:R49">SUM(G32+G18)</f>
        <v>6370060</v>
      </c>
      <c r="H49" s="362">
        <f t="shared" si="21"/>
        <v>6128997</v>
      </c>
      <c r="I49" s="362">
        <f t="shared" si="21"/>
        <v>5406743</v>
      </c>
      <c r="J49" s="362">
        <f t="shared" si="21"/>
        <v>6150609</v>
      </c>
      <c r="K49" s="362">
        <f t="shared" si="21"/>
        <v>6381152</v>
      </c>
      <c r="L49" s="362">
        <f t="shared" si="21"/>
        <v>6612425</v>
      </c>
      <c r="M49" s="362">
        <f t="shared" si="21"/>
        <v>6806894</v>
      </c>
      <c r="N49" s="362">
        <f t="shared" si="21"/>
        <v>6574118</v>
      </c>
      <c r="O49" s="363">
        <f t="shared" si="21"/>
        <v>6709999</v>
      </c>
      <c r="P49" s="362">
        <f t="shared" si="21"/>
        <v>6896772</v>
      </c>
      <c r="Q49" s="362">
        <f t="shared" si="21"/>
        <v>6783549</v>
      </c>
      <c r="R49" s="362">
        <f t="shared" si="21"/>
        <v>8293593</v>
      </c>
      <c r="S49" s="322">
        <f>SUM(G49:R49)</f>
        <v>79114911</v>
      </c>
      <c r="T49" s="326">
        <f t="shared" si="7"/>
        <v>103.63961950547125</v>
      </c>
    </row>
    <row r="50" spans="1:20" ht="15">
      <c r="A50" s="297"/>
      <c r="B50" s="19" t="s">
        <v>89</v>
      </c>
      <c r="C50" s="351" t="s">
        <v>127</v>
      </c>
      <c r="D50" s="352"/>
      <c r="E50" s="352"/>
      <c r="F50" s="343"/>
      <c r="G50" s="364"/>
      <c r="H50" s="365"/>
      <c r="I50" s="365"/>
      <c r="J50" s="365"/>
      <c r="K50" s="365"/>
      <c r="L50" s="365"/>
      <c r="M50" s="365"/>
      <c r="N50" s="365"/>
      <c r="O50" s="366"/>
      <c r="P50" s="365"/>
      <c r="Q50" s="365"/>
      <c r="R50" s="365"/>
      <c r="S50" s="351" t="s">
        <v>150</v>
      </c>
      <c r="T50" s="326"/>
    </row>
    <row r="51" spans="1:20" ht="15">
      <c r="A51" s="297"/>
      <c r="B51" s="19" t="s">
        <v>22</v>
      </c>
      <c r="C51" s="339">
        <f aca="true" t="shared" si="22" ref="C51:P52">SUM(C33+C19)</f>
        <v>55501723</v>
      </c>
      <c r="D51" s="339">
        <f t="shared" si="22"/>
        <v>55501723</v>
      </c>
      <c r="E51" s="334" t="e">
        <f>SUM(C51/#REF!*100)</f>
        <v>#REF!</v>
      </c>
      <c r="F51" s="343" t="e">
        <f>SUM(C51-#REF!)</f>
        <v>#REF!</v>
      </c>
      <c r="G51" s="344">
        <f t="shared" si="22"/>
        <v>4500653</v>
      </c>
      <c r="H51" s="340">
        <f>SUM(H33+H19)</f>
        <v>4575487</v>
      </c>
      <c r="I51" s="340">
        <f>SUM(I33+I19)</f>
        <v>3774494</v>
      </c>
      <c r="J51" s="340">
        <f t="shared" si="22"/>
        <v>4456953</v>
      </c>
      <c r="K51" s="340">
        <f t="shared" si="22"/>
        <v>4629650</v>
      </c>
      <c r="L51" s="340">
        <f t="shared" si="22"/>
        <v>4811621</v>
      </c>
      <c r="M51" s="340">
        <f t="shared" si="22"/>
        <v>4943989</v>
      </c>
      <c r="N51" s="340">
        <f t="shared" si="22"/>
        <v>4756656</v>
      </c>
      <c r="O51" s="341">
        <f t="shared" si="22"/>
        <v>4860966</v>
      </c>
      <c r="P51" s="340">
        <f t="shared" si="22"/>
        <v>4995230</v>
      </c>
      <c r="Q51" s="340">
        <f>SUM(Q33+Q19)</f>
        <v>4920913</v>
      </c>
      <c r="R51" s="340">
        <f>SUM(R33+R19)</f>
        <v>6034063</v>
      </c>
      <c r="S51" s="326">
        <f aca="true" t="shared" si="23" ref="S51:S62">SUM(G51:R51)</f>
        <v>57260675</v>
      </c>
      <c r="T51" s="326">
        <f t="shared" si="7"/>
        <v>103.16918449540746</v>
      </c>
    </row>
    <row r="52" spans="1:20" ht="15">
      <c r="A52" s="297"/>
      <c r="B52" s="16" t="s">
        <v>23</v>
      </c>
      <c r="C52" s="339">
        <f t="shared" si="22"/>
        <v>17316537</v>
      </c>
      <c r="D52" s="339">
        <f t="shared" si="22"/>
        <v>17316537</v>
      </c>
      <c r="E52" s="334" t="e">
        <f>SUM(C52/#REF!*100)</f>
        <v>#REF!</v>
      </c>
      <c r="F52" s="343" t="e">
        <f>SUM(C52-#REF!)</f>
        <v>#REF!</v>
      </c>
      <c r="G52" s="344">
        <f t="shared" si="22"/>
        <v>1570299</v>
      </c>
      <c r="H52" s="340">
        <f>SUM(H34+H20)</f>
        <v>1276064</v>
      </c>
      <c r="I52" s="340">
        <f>SUM(I34+I20)</f>
        <v>1343539</v>
      </c>
      <c r="J52" s="340">
        <f t="shared" si="22"/>
        <v>1398331</v>
      </c>
      <c r="K52" s="340">
        <f t="shared" si="22"/>
        <v>1456308</v>
      </c>
      <c r="L52" s="340">
        <f t="shared" si="22"/>
        <v>1512213</v>
      </c>
      <c r="M52" s="340">
        <f t="shared" si="22"/>
        <v>1556098</v>
      </c>
      <c r="N52" s="340">
        <f t="shared" si="22"/>
        <v>1495060</v>
      </c>
      <c r="O52" s="341">
        <f t="shared" si="22"/>
        <v>1531056</v>
      </c>
      <c r="P52" s="340">
        <f t="shared" si="22"/>
        <v>1572989</v>
      </c>
      <c r="Q52" s="340">
        <f>SUM(Q34+Q20)</f>
        <v>1546024</v>
      </c>
      <c r="R52" s="340">
        <f>SUM(R34+R20)</f>
        <v>1895916</v>
      </c>
      <c r="S52" s="326">
        <f t="shared" si="23"/>
        <v>18153897</v>
      </c>
      <c r="T52" s="326">
        <f t="shared" si="7"/>
        <v>104.83560887491534</v>
      </c>
    </row>
    <row r="53" spans="1:20" ht="15">
      <c r="A53" s="297"/>
      <c r="B53" s="36" t="s">
        <v>24</v>
      </c>
      <c r="C53" s="339">
        <f>SUM(C51:C52)</f>
        <v>72818260</v>
      </c>
      <c r="D53" s="339">
        <f>SUM(D51:D52)</f>
        <v>72818260</v>
      </c>
      <c r="E53" s="334" t="e">
        <f>SUM(C53/#REF!*100)</f>
        <v>#REF!</v>
      </c>
      <c r="F53" s="343" t="e">
        <f>SUM(C53-#REF!)</f>
        <v>#REF!</v>
      </c>
      <c r="G53" s="344">
        <f aca="true" t="shared" si="24" ref="G53:R53">SUM(G51:G52)</f>
        <v>6070952</v>
      </c>
      <c r="H53" s="340">
        <f t="shared" si="24"/>
        <v>5851551</v>
      </c>
      <c r="I53" s="340">
        <f t="shared" si="24"/>
        <v>5118033</v>
      </c>
      <c r="J53" s="340">
        <f t="shared" si="24"/>
        <v>5855284</v>
      </c>
      <c r="K53" s="340">
        <f t="shared" si="24"/>
        <v>6085958</v>
      </c>
      <c r="L53" s="340">
        <f t="shared" si="24"/>
        <v>6323834</v>
      </c>
      <c r="M53" s="340">
        <f>SUM(M51:M52)</f>
        <v>6500087</v>
      </c>
      <c r="N53" s="340">
        <f>SUM(N51:N52)</f>
        <v>6251716</v>
      </c>
      <c r="O53" s="341">
        <f>SUM(O51:O52)</f>
        <v>6392022</v>
      </c>
      <c r="P53" s="340">
        <f t="shared" si="24"/>
        <v>6568219</v>
      </c>
      <c r="Q53" s="340">
        <f t="shared" si="24"/>
        <v>6466937</v>
      </c>
      <c r="R53" s="340">
        <f t="shared" si="24"/>
        <v>7929979</v>
      </c>
      <c r="S53" s="326">
        <f t="shared" si="23"/>
        <v>75414572</v>
      </c>
      <c r="T53" s="326">
        <f t="shared" si="7"/>
        <v>103.5654683317069</v>
      </c>
    </row>
    <row r="54" spans="1:20" ht="15">
      <c r="A54" s="297"/>
      <c r="B54" s="37" t="s">
        <v>25</v>
      </c>
      <c r="C54" s="339">
        <f>SUM(C36+C22)</f>
        <v>3203027</v>
      </c>
      <c r="D54" s="339">
        <f>SUM(D36+D22)</f>
        <v>3203027</v>
      </c>
      <c r="E54" s="334" t="e">
        <f>SUM(C54/#REF!*100)</f>
        <v>#REF!</v>
      </c>
      <c r="F54" s="343" t="e">
        <f>SUM(C54-#REF!)</f>
        <v>#REF!</v>
      </c>
      <c r="G54" s="344">
        <f aca="true" t="shared" si="25" ref="G54:R54">SUM(G36+G22)</f>
        <v>260061</v>
      </c>
      <c r="H54" s="340">
        <f t="shared" si="25"/>
        <v>253380</v>
      </c>
      <c r="I54" s="340">
        <f t="shared" si="25"/>
        <v>262332</v>
      </c>
      <c r="J54" s="340">
        <f t="shared" si="25"/>
        <v>265087</v>
      </c>
      <c r="K54" s="340">
        <f t="shared" si="25"/>
        <v>265558</v>
      </c>
      <c r="L54" s="340">
        <f t="shared" si="25"/>
        <v>258426</v>
      </c>
      <c r="M54" s="340">
        <f t="shared" si="25"/>
        <v>274374</v>
      </c>
      <c r="N54" s="340">
        <f t="shared" si="25"/>
        <v>283115</v>
      </c>
      <c r="O54" s="341">
        <f t="shared" si="25"/>
        <v>287318</v>
      </c>
      <c r="P54" s="340">
        <f t="shared" si="25"/>
        <v>291826</v>
      </c>
      <c r="Q54" s="340">
        <f t="shared" si="25"/>
        <v>284565</v>
      </c>
      <c r="R54" s="340">
        <f t="shared" si="25"/>
        <v>328529</v>
      </c>
      <c r="S54" s="326">
        <f t="shared" si="23"/>
        <v>3314571</v>
      </c>
      <c r="T54" s="326">
        <f t="shared" si="7"/>
        <v>103.482455814453</v>
      </c>
    </row>
    <row r="55" spans="1:20" ht="15">
      <c r="A55" s="293"/>
      <c r="B55" s="38" t="s">
        <v>86</v>
      </c>
      <c r="C55" s="317">
        <f aca="true" t="shared" si="26" ref="C55:P56">SUM(C38+C24)</f>
        <v>5678000</v>
      </c>
      <c r="D55" s="317">
        <f t="shared" si="26"/>
        <v>5678000</v>
      </c>
      <c r="E55" s="337" t="e">
        <f>SUM(C55/#REF!*100)</f>
        <v>#REF!</v>
      </c>
      <c r="F55" s="343" t="e">
        <f>SUM(C55-#REF!)</f>
        <v>#REF!</v>
      </c>
      <c r="G55" s="367">
        <f t="shared" si="26"/>
        <v>318106</v>
      </c>
      <c r="H55" s="324">
        <f>SUM(H38+H24)</f>
        <v>-27433</v>
      </c>
      <c r="I55" s="324">
        <f>SUM(I38+I24)</f>
        <v>735832</v>
      </c>
      <c r="J55" s="324">
        <f t="shared" si="26"/>
        <v>165971</v>
      </c>
      <c r="K55" s="324">
        <f t="shared" si="26"/>
        <v>146506</v>
      </c>
      <c r="L55" s="324">
        <f t="shared" si="26"/>
        <v>123447</v>
      </c>
      <c r="M55" s="324">
        <f t="shared" si="26"/>
        <v>158217</v>
      </c>
      <c r="N55" s="324">
        <f t="shared" si="26"/>
        <v>156047</v>
      </c>
      <c r="O55" s="325">
        <f t="shared" si="26"/>
        <v>197232</v>
      </c>
      <c r="P55" s="324">
        <f t="shared" si="26"/>
        <v>553824</v>
      </c>
      <c r="Q55" s="324">
        <f>SUM(Q38+Q24)</f>
        <v>423869</v>
      </c>
      <c r="R55" s="324">
        <f>SUM(R38+R24)</f>
        <v>644996</v>
      </c>
      <c r="S55" s="322">
        <f>SUM(G55:R55)</f>
        <v>3596614</v>
      </c>
      <c r="T55" s="368">
        <f t="shared" si="7"/>
        <v>63.34297287777386</v>
      </c>
    </row>
    <row r="56" spans="1:20" ht="15">
      <c r="A56" s="297"/>
      <c r="B56" s="37" t="s">
        <v>32</v>
      </c>
      <c r="C56" s="339">
        <v>5480000</v>
      </c>
      <c r="D56" s="339">
        <v>5480000</v>
      </c>
      <c r="E56" s="334" t="e">
        <f>SUM(C56/#REF!*100)</f>
        <v>#REF!</v>
      </c>
      <c r="F56" s="343" t="e">
        <f>SUM(C56-#REF!)</f>
        <v>#REF!</v>
      </c>
      <c r="G56" s="344">
        <f t="shared" si="26"/>
        <v>312559</v>
      </c>
      <c r="H56" s="340">
        <f>SUM(H39+H25)</f>
        <v>-34969</v>
      </c>
      <c r="I56" s="340">
        <f>SUM(I39+I25)</f>
        <v>730971</v>
      </c>
      <c r="J56" s="340">
        <f t="shared" si="26"/>
        <v>160599</v>
      </c>
      <c r="K56" s="340">
        <f t="shared" si="26"/>
        <v>140652</v>
      </c>
      <c r="L56" s="340">
        <f t="shared" si="26"/>
        <v>118795</v>
      </c>
      <c r="M56" s="340">
        <f t="shared" si="26"/>
        <v>152972</v>
      </c>
      <c r="N56" s="340">
        <f t="shared" si="26"/>
        <v>151964</v>
      </c>
      <c r="O56" s="341">
        <f t="shared" si="26"/>
        <v>193092</v>
      </c>
      <c r="P56" s="340">
        <f t="shared" si="26"/>
        <v>546769</v>
      </c>
      <c r="Q56" s="340">
        <f>SUM(Q39+Q25)</f>
        <v>418803</v>
      </c>
      <c r="R56" s="340">
        <f>SUM(R39+R25)</f>
        <v>636952</v>
      </c>
      <c r="S56" s="326">
        <f t="shared" si="23"/>
        <v>3529159</v>
      </c>
      <c r="T56" s="326"/>
    </row>
    <row r="57" spans="1:20" ht="15">
      <c r="A57" s="297"/>
      <c r="B57" s="32" t="s">
        <v>30</v>
      </c>
      <c r="C57" s="369">
        <v>2200000</v>
      </c>
      <c r="D57" s="369">
        <v>2200000</v>
      </c>
      <c r="E57" s="369"/>
      <c r="F57" s="343"/>
      <c r="G57" s="370"/>
      <c r="H57" s="371"/>
      <c r="I57" s="353">
        <v>91000</v>
      </c>
      <c r="J57" s="371"/>
      <c r="K57" s="371"/>
      <c r="L57" s="371"/>
      <c r="M57" s="371"/>
      <c r="N57" s="371"/>
      <c r="O57" s="372"/>
      <c r="P57" s="373">
        <v>240000</v>
      </c>
      <c r="Q57" s="373">
        <v>240000</v>
      </c>
      <c r="R57" s="373">
        <v>432000</v>
      </c>
      <c r="S57" s="374">
        <f>SUM(G57:R57)</f>
        <v>1003000</v>
      </c>
      <c r="T57" s="368">
        <f t="shared" si="7"/>
        <v>45.59090909090909</v>
      </c>
    </row>
    <row r="58" spans="1:20" ht="15">
      <c r="A58" s="297"/>
      <c r="B58" s="32" t="s">
        <v>31</v>
      </c>
      <c r="C58" s="369">
        <v>500000</v>
      </c>
      <c r="D58" s="369">
        <v>500000</v>
      </c>
      <c r="E58" s="369"/>
      <c r="F58" s="343"/>
      <c r="G58" s="375"/>
      <c r="H58" s="376"/>
      <c r="I58" s="365" t="s">
        <v>145</v>
      </c>
      <c r="J58" s="376"/>
      <c r="K58" s="376"/>
      <c r="L58" s="376"/>
      <c r="M58" s="376"/>
      <c r="N58" s="376"/>
      <c r="O58" s="372">
        <v>41672</v>
      </c>
      <c r="P58" s="376"/>
      <c r="Q58" s="376"/>
      <c r="R58" s="376"/>
      <c r="S58" s="374">
        <f>SUM(G58:R58)</f>
        <v>41672</v>
      </c>
      <c r="T58" s="368">
        <f t="shared" si="7"/>
        <v>8.3344</v>
      </c>
    </row>
    <row r="59" spans="1:20" ht="15">
      <c r="A59" s="297"/>
      <c r="B59" s="36" t="s">
        <v>33</v>
      </c>
      <c r="C59" s="339">
        <f aca="true" t="shared" si="27" ref="C59:P61">SUM(C40+C26)</f>
        <v>198000</v>
      </c>
      <c r="D59" s="339">
        <f t="shared" si="27"/>
        <v>198000</v>
      </c>
      <c r="E59" s="334" t="e">
        <f>SUM(C59/#REF!*100)</f>
        <v>#REF!</v>
      </c>
      <c r="F59" s="343" t="e">
        <f>SUM(C59-#REF!)</f>
        <v>#REF!</v>
      </c>
      <c r="G59" s="344">
        <f t="shared" si="27"/>
        <v>5547</v>
      </c>
      <c r="H59" s="340">
        <f t="shared" si="27"/>
        <v>7536</v>
      </c>
      <c r="I59" s="340">
        <f t="shared" si="27"/>
        <v>4861</v>
      </c>
      <c r="J59" s="340">
        <f t="shared" si="27"/>
        <v>5372</v>
      </c>
      <c r="K59" s="340">
        <f t="shared" si="27"/>
        <v>5854</v>
      </c>
      <c r="L59" s="340">
        <f t="shared" si="27"/>
        <v>4652</v>
      </c>
      <c r="M59" s="340">
        <f t="shared" si="27"/>
        <v>5245</v>
      </c>
      <c r="N59" s="340">
        <f t="shared" si="27"/>
        <v>4083</v>
      </c>
      <c r="O59" s="341">
        <f t="shared" si="27"/>
        <v>4140</v>
      </c>
      <c r="P59" s="340">
        <f t="shared" si="27"/>
        <v>7055</v>
      </c>
      <c r="Q59" s="340">
        <f aca="true" t="shared" si="28" ref="Q59:R61">SUM(Q40+Q26)</f>
        <v>5066</v>
      </c>
      <c r="R59" s="340">
        <f t="shared" si="28"/>
        <v>8044</v>
      </c>
      <c r="S59" s="377">
        <f t="shared" si="23"/>
        <v>67455</v>
      </c>
      <c r="T59" s="326"/>
    </row>
    <row r="60" spans="1:20" ht="15">
      <c r="A60" s="297"/>
      <c r="B60" s="304" t="s">
        <v>83</v>
      </c>
      <c r="C60" s="332">
        <f>SUM(C41+C27)</f>
        <v>7694862</v>
      </c>
      <c r="D60" s="332">
        <f>SUM(D41+D27)</f>
        <v>7694862</v>
      </c>
      <c r="E60" s="337" t="e">
        <f>SUM(C60/#REF!*100)</f>
        <v>#REF!</v>
      </c>
      <c r="F60" s="343" t="e">
        <f>SUM(C60-#REF!)</f>
        <v>#REF!</v>
      </c>
      <c r="G60" s="358">
        <f>SUM(G41+G27)</f>
        <v>1282476</v>
      </c>
      <c r="H60" s="359">
        <f t="shared" si="27"/>
        <v>641238</v>
      </c>
      <c r="I60" s="359">
        <f t="shared" si="27"/>
        <v>328568</v>
      </c>
      <c r="J60" s="359">
        <f>SUM(J41+J27)</f>
        <v>641240</v>
      </c>
      <c r="K60" s="359">
        <f t="shared" si="27"/>
        <v>728476</v>
      </c>
      <c r="L60" s="359">
        <f t="shared" si="27"/>
        <v>641238</v>
      </c>
      <c r="M60" s="359">
        <f t="shared" si="27"/>
        <v>641238</v>
      </c>
      <c r="N60" s="359">
        <f t="shared" si="27"/>
        <v>0</v>
      </c>
      <c r="O60" s="360">
        <f t="shared" si="27"/>
        <v>1319326</v>
      </c>
      <c r="P60" s="359">
        <f t="shared" si="27"/>
        <v>641239</v>
      </c>
      <c r="Q60" s="359">
        <f t="shared" si="28"/>
        <v>517154</v>
      </c>
      <c r="R60" s="359">
        <f t="shared" si="28"/>
        <v>0</v>
      </c>
      <c r="S60" s="332">
        <f t="shared" si="23"/>
        <v>7382193</v>
      </c>
      <c r="T60" s="326">
        <f t="shared" si="7"/>
        <v>95.93665227524548</v>
      </c>
    </row>
    <row r="61" spans="1:20" ht="15">
      <c r="A61" s="293"/>
      <c r="B61" s="304" t="s">
        <v>82</v>
      </c>
      <c r="C61" s="332">
        <f aca="true" t="shared" si="29" ref="C61:J61">SUM(C42+C28)</f>
        <v>1115856</v>
      </c>
      <c r="D61" s="332">
        <f t="shared" si="29"/>
        <v>1115856</v>
      </c>
      <c r="E61" s="337" t="e">
        <f>SUM(C61/#REF!*100)</f>
        <v>#REF!</v>
      </c>
      <c r="F61" s="343" t="e">
        <f>SUM(C61-#REF!)</f>
        <v>#REF!</v>
      </c>
      <c r="G61" s="358">
        <f t="shared" si="29"/>
        <v>83107</v>
      </c>
      <c r="H61" s="359">
        <f t="shared" si="27"/>
        <v>99201</v>
      </c>
      <c r="I61" s="359">
        <f t="shared" si="27"/>
        <v>98694</v>
      </c>
      <c r="J61" s="359">
        <f t="shared" si="29"/>
        <v>91738</v>
      </c>
      <c r="K61" s="359">
        <f t="shared" si="27"/>
        <v>80893</v>
      </c>
      <c r="L61" s="359">
        <f t="shared" si="27"/>
        <v>73264</v>
      </c>
      <c r="M61" s="359">
        <f t="shared" si="27"/>
        <v>69522</v>
      </c>
      <c r="N61" s="359">
        <f t="shared" si="27"/>
        <v>67965</v>
      </c>
      <c r="O61" s="360">
        <f t="shared" si="27"/>
        <v>67046</v>
      </c>
      <c r="P61" s="359">
        <f t="shared" si="27"/>
        <v>65115</v>
      </c>
      <c r="Q61" s="359">
        <f t="shared" si="28"/>
        <v>64688</v>
      </c>
      <c r="R61" s="359">
        <f t="shared" si="28"/>
        <v>72854</v>
      </c>
      <c r="S61" s="332">
        <f t="shared" si="23"/>
        <v>934087</v>
      </c>
      <c r="T61" s="326">
        <f t="shared" si="7"/>
        <v>83.71035330723677</v>
      </c>
    </row>
    <row r="62" spans="1:22" ht="15">
      <c r="A62" s="293" t="s">
        <v>11</v>
      </c>
      <c r="B62" s="38" t="s">
        <v>92</v>
      </c>
      <c r="C62" s="322">
        <v>350000</v>
      </c>
      <c r="D62" s="322">
        <v>350000</v>
      </c>
      <c r="E62" s="337" t="e">
        <f>SUM(C62/#REF!*100)</f>
        <v>#REF!</v>
      </c>
      <c r="F62" s="343" t="e">
        <f>SUM(C62-#REF!)</f>
        <v>#REF!</v>
      </c>
      <c r="G62" s="361">
        <f>4303928-G66</f>
        <v>31631</v>
      </c>
      <c r="H62" s="362">
        <v>31859</v>
      </c>
      <c r="I62" s="362">
        <f>396541-I66</f>
        <v>28104</v>
      </c>
      <c r="J62" s="362">
        <f>29961-J66</f>
        <v>29559</v>
      </c>
      <c r="K62" s="362">
        <f>41139-K66</f>
        <v>36136</v>
      </c>
      <c r="L62" s="362">
        <f>25529-22</f>
        <v>25507</v>
      </c>
      <c r="M62" s="362">
        <v>32283</v>
      </c>
      <c r="N62" s="362">
        <f>29012+10</f>
        <v>29022</v>
      </c>
      <c r="O62" s="363">
        <f>28450+53</f>
        <v>28503</v>
      </c>
      <c r="P62" s="362">
        <f>35090+15</f>
        <v>35105</v>
      </c>
      <c r="Q62" s="362">
        <f>25255+57</f>
        <v>25312</v>
      </c>
      <c r="R62" s="362">
        <f>319490-R66</f>
        <v>30143</v>
      </c>
      <c r="S62" s="317">
        <f t="shared" si="23"/>
        <v>363164</v>
      </c>
      <c r="T62" s="326">
        <f t="shared" si="7"/>
        <v>103.76114285714286</v>
      </c>
      <c r="U62" s="78"/>
      <c r="V62" s="79"/>
    </row>
    <row r="63" spans="1:20" ht="15" customHeight="1">
      <c r="A63" s="293"/>
      <c r="B63" s="59" t="s">
        <v>91</v>
      </c>
      <c r="C63" s="322"/>
      <c r="D63" s="322"/>
      <c r="E63" s="337"/>
      <c r="F63" s="343"/>
      <c r="G63" s="361"/>
      <c r="H63" s="362"/>
      <c r="I63" s="362"/>
      <c r="J63" s="362"/>
      <c r="K63" s="362"/>
      <c r="L63" s="362"/>
      <c r="M63" s="362"/>
      <c r="N63" s="362"/>
      <c r="O63" s="363"/>
      <c r="P63" s="362"/>
      <c r="Q63" s="362"/>
      <c r="R63" s="362"/>
      <c r="S63" s="377">
        <v>267802</v>
      </c>
      <c r="T63" s="326"/>
    </row>
    <row r="64" spans="1:20" ht="15">
      <c r="A64" s="293" t="s">
        <v>37</v>
      </c>
      <c r="B64" s="34" t="s">
        <v>64</v>
      </c>
      <c r="C64" s="339">
        <v>0</v>
      </c>
      <c r="D64" s="339">
        <v>0</v>
      </c>
      <c r="E64" s="339"/>
      <c r="F64" s="343"/>
      <c r="G64" s="344"/>
      <c r="H64" s="340"/>
      <c r="I64" s="340"/>
      <c r="J64" s="340"/>
      <c r="K64" s="340"/>
      <c r="L64" s="340"/>
      <c r="M64" s="340"/>
      <c r="N64" s="340"/>
      <c r="O64" s="341"/>
      <c r="P64" s="340"/>
      <c r="Q64" s="340"/>
      <c r="R64" s="340"/>
      <c r="S64" s="339"/>
      <c r="T64" s="326"/>
    </row>
    <row r="65" spans="1:20" ht="15.75" thickBot="1">
      <c r="A65" s="293" t="s">
        <v>39</v>
      </c>
      <c r="B65" s="33" t="s">
        <v>40</v>
      </c>
      <c r="C65" s="339">
        <v>0</v>
      </c>
      <c r="D65" s="339">
        <v>0</v>
      </c>
      <c r="E65" s="337"/>
      <c r="F65" s="378"/>
      <c r="G65" s="344"/>
      <c r="H65" s="340"/>
      <c r="I65" s="340"/>
      <c r="J65" s="340"/>
      <c r="K65" s="340"/>
      <c r="L65" s="340"/>
      <c r="M65" s="340"/>
      <c r="N65" s="340"/>
      <c r="O65" s="341"/>
      <c r="P65" s="340"/>
      <c r="Q65" s="340"/>
      <c r="R65" s="340"/>
      <c r="S65" s="339"/>
      <c r="T65" s="379"/>
    </row>
    <row r="66" spans="1:20" ht="16.5" thickBot="1">
      <c r="A66" s="305" t="s">
        <v>3</v>
      </c>
      <c r="B66" s="291" t="s">
        <v>36</v>
      </c>
      <c r="C66" s="314">
        <v>3427273</v>
      </c>
      <c r="D66" s="314">
        <v>4893665</v>
      </c>
      <c r="E66" s="380" t="e">
        <f>SUM(C66/#REF!*100)</f>
        <v>#REF!</v>
      </c>
      <c r="F66" s="309" t="e">
        <f>SUM(C66-#REF!)</f>
        <v>#REF!</v>
      </c>
      <c r="G66" s="381">
        <v>4272297</v>
      </c>
      <c r="H66" s="315">
        <v>0</v>
      </c>
      <c r="I66" s="315">
        <v>368437</v>
      </c>
      <c r="J66" s="315">
        <v>402</v>
      </c>
      <c r="K66" s="315">
        <v>5003</v>
      </c>
      <c r="L66" s="315">
        <v>22</v>
      </c>
      <c r="M66" s="315">
        <v>10</v>
      </c>
      <c r="N66" s="315">
        <v>-10</v>
      </c>
      <c r="O66" s="316">
        <v>-53</v>
      </c>
      <c r="P66" s="315">
        <v>-15</v>
      </c>
      <c r="Q66" s="315">
        <v>-57</v>
      </c>
      <c r="R66" s="315">
        <v>289347</v>
      </c>
      <c r="S66" s="314">
        <f>SUM(G66:R66)</f>
        <v>4935383</v>
      </c>
      <c r="T66" s="382">
        <f t="shared" si="7"/>
        <v>144.00320604749024</v>
      </c>
    </row>
    <row r="67" spans="1:20" ht="15">
      <c r="A67" s="39"/>
      <c r="B67" s="40"/>
      <c r="C67" s="383"/>
      <c r="D67" s="383"/>
      <c r="E67" s="384"/>
      <c r="F67" s="385"/>
      <c r="G67" s="386"/>
      <c r="H67" s="387"/>
      <c r="I67" s="387"/>
      <c r="J67" s="387"/>
      <c r="K67" s="387"/>
      <c r="L67" s="387"/>
      <c r="M67" s="387"/>
      <c r="N67" s="387"/>
      <c r="O67" s="388"/>
      <c r="P67" s="387"/>
      <c r="Q67" s="387"/>
      <c r="R67" s="387"/>
      <c r="S67" s="383"/>
      <c r="T67" s="389"/>
    </row>
    <row r="68" spans="1:20" ht="15.75">
      <c r="A68" s="306" t="s">
        <v>5</v>
      </c>
      <c r="B68" s="41" t="s">
        <v>38</v>
      </c>
      <c r="C68" s="390">
        <v>0</v>
      </c>
      <c r="D68" s="390">
        <v>0</v>
      </c>
      <c r="E68" s="334" t="e">
        <f>SUM(C68/#REF!*100)</f>
        <v>#REF!</v>
      </c>
      <c r="F68" s="343" t="e">
        <f>SUM(C68-#REF!)</f>
        <v>#REF!</v>
      </c>
      <c r="G68" s="391">
        <v>1299</v>
      </c>
      <c r="H68" s="392">
        <v>1268</v>
      </c>
      <c r="I68" s="392">
        <v>784</v>
      </c>
      <c r="J68" s="392">
        <v>2242</v>
      </c>
      <c r="K68" s="392">
        <v>1395</v>
      </c>
      <c r="L68" s="392">
        <v>1194</v>
      </c>
      <c r="M68" s="392">
        <v>955</v>
      </c>
      <c r="N68" s="392">
        <v>1297</v>
      </c>
      <c r="O68" s="393">
        <v>848</v>
      </c>
      <c r="P68" s="392">
        <v>1235</v>
      </c>
      <c r="Q68" s="392">
        <v>2053</v>
      </c>
      <c r="R68" s="392">
        <v>2005</v>
      </c>
      <c r="S68" s="317">
        <f>SUM(G68:R68)</f>
        <v>16575</v>
      </c>
      <c r="T68" s="326"/>
    </row>
    <row r="69" spans="1:20" ht="15">
      <c r="A69" s="307"/>
      <c r="B69" s="37" t="s">
        <v>26</v>
      </c>
      <c r="C69" s="334"/>
      <c r="D69" s="334"/>
      <c r="E69" s="334" t="e">
        <f>SUM(C69/#REF!*100)</f>
        <v>#REF!</v>
      </c>
      <c r="F69" s="343" t="e">
        <f>SUM(C69-#REF!)</f>
        <v>#REF!</v>
      </c>
      <c r="G69" s="344">
        <v>1244</v>
      </c>
      <c r="H69" s="340">
        <v>1223</v>
      </c>
      <c r="I69" s="340">
        <v>764</v>
      </c>
      <c r="J69" s="340">
        <v>2208</v>
      </c>
      <c r="K69" s="340">
        <v>1316</v>
      </c>
      <c r="L69" s="340">
        <v>1134</v>
      </c>
      <c r="M69" s="340">
        <v>916</v>
      </c>
      <c r="N69" s="340">
        <v>1009</v>
      </c>
      <c r="O69" s="341">
        <v>783</v>
      </c>
      <c r="P69" s="340">
        <v>1111</v>
      </c>
      <c r="Q69" s="340">
        <v>1916</v>
      </c>
      <c r="R69" s="340">
        <v>1829</v>
      </c>
      <c r="S69" s="326">
        <f>SUM(G69:R69)</f>
        <v>15453</v>
      </c>
      <c r="T69" s="326"/>
    </row>
    <row r="70" spans="1:20" ht="16.5" thickBot="1">
      <c r="A70" s="308" t="s">
        <v>6</v>
      </c>
      <c r="B70" s="42" t="s">
        <v>123</v>
      </c>
      <c r="C70" s="394">
        <v>15846169</v>
      </c>
      <c r="D70" s="394">
        <v>15846169</v>
      </c>
      <c r="E70" s="394" t="e">
        <f>SUM(C70/#REF!*100)</f>
        <v>#REF!</v>
      </c>
      <c r="F70" s="395" t="e">
        <f>SUM(C70-#REF!)</f>
        <v>#REF!</v>
      </c>
      <c r="G70" s="396">
        <v>2641328</v>
      </c>
      <c r="H70" s="397">
        <v>1240438</v>
      </c>
      <c r="I70" s="397">
        <v>1179070</v>
      </c>
      <c r="J70" s="397">
        <v>1084465</v>
      </c>
      <c r="K70" s="397">
        <v>1282081</v>
      </c>
      <c r="L70" s="397">
        <v>0</v>
      </c>
      <c r="M70" s="397">
        <v>2947300</v>
      </c>
      <c r="N70" s="397">
        <v>0</v>
      </c>
      <c r="O70" s="398">
        <v>1480600</v>
      </c>
      <c r="P70" s="397">
        <v>2430600</v>
      </c>
      <c r="Q70" s="397">
        <v>1000117</v>
      </c>
      <c r="R70" s="397">
        <v>0</v>
      </c>
      <c r="S70" s="399">
        <f>SUM(G70:R70)</f>
        <v>15285999</v>
      </c>
      <c r="T70" s="400">
        <f t="shared" si="7"/>
        <v>96.46494998254784</v>
      </c>
    </row>
    <row r="71" spans="1:3" ht="15.75">
      <c r="A71" s="87" t="s">
        <v>157</v>
      </c>
      <c r="B71" s="88"/>
      <c r="C71" s="88"/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tabSelected="1" workbookViewId="0" topLeftCell="M53">
      <selection activeCell="Q17" sqref="Q17"/>
    </sheetView>
  </sheetViews>
  <sheetFormatPr defaultColWidth="8.796875" defaultRowHeight="15"/>
  <cols>
    <col min="1" max="1" width="4" style="0" customWidth="1"/>
    <col min="2" max="2" width="47.796875" style="0" customWidth="1"/>
    <col min="3" max="4" width="16.796875" style="0" customWidth="1"/>
    <col min="5" max="15" width="11.796875" style="0" customWidth="1"/>
    <col min="16" max="16" width="8.796875" style="0" customWidth="1"/>
    <col min="17" max="17" width="22.19921875" style="0" customWidth="1"/>
    <col min="18" max="18" width="8.09765625" style="0" customWidth="1"/>
    <col min="19" max="19" width="5.3984375" style="0" customWidth="1"/>
    <col min="20" max="20" width="9.3984375" style="0" bestFit="1" customWidth="1"/>
  </cols>
  <sheetData>
    <row r="1" spans="1:18" ht="15" customHeight="1">
      <c r="A1" s="91" t="s">
        <v>8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92" t="s">
        <v>172</v>
      </c>
    </row>
    <row r="2" spans="1:18" ht="15" customHeight="1">
      <c r="A2" s="3"/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92" t="s">
        <v>70</v>
      </c>
    </row>
    <row r="3" spans="1:18" ht="18">
      <c r="A3" s="93" t="s">
        <v>176</v>
      </c>
      <c r="B3" s="94"/>
      <c r="C3" s="94"/>
      <c r="D3" s="94"/>
      <c r="E3" s="94"/>
      <c r="F3" s="94"/>
      <c r="G3" s="94"/>
      <c r="H3" s="94"/>
      <c r="I3" s="5"/>
      <c r="J3" s="5"/>
      <c r="K3" s="5"/>
      <c r="L3" s="5"/>
      <c r="M3" s="5"/>
      <c r="N3" s="5"/>
      <c r="O3" s="5"/>
      <c r="P3" s="5"/>
      <c r="Q3" s="5"/>
      <c r="R3" s="70"/>
    </row>
    <row r="4" spans="1:18" ht="18">
      <c r="A4" s="93"/>
      <c r="B4" s="94"/>
      <c r="C4" s="94"/>
      <c r="D4" s="94"/>
      <c r="E4" s="94"/>
      <c r="F4" s="94"/>
      <c r="G4" s="94"/>
      <c r="H4" s="94"/>
      <c r="I4" s="5"/>
      <c r="J4" s="5"/>
      <c r="K4" s="5"/>
      <c r="L4" s="5"/>
      <c r="M4" s="5"/>
      <c r="N4" s="5"/>
      <c r="O4" s="5"/>
      <c r="P4" s="5"/>
      <c r="Q4" s="5"/>
      <c r="R4" s="70"/>
    </row>
    <row r="5" spans="1:18" ht="18">
      <c r="A5" s="93"/>
      <c r="B5" s="94"/>
      <c r="C5" s="94"/>
      <c r="D5" s="94"/>
      <c r="E5" s="94"/>
      <c r="F5" s="94"/>
      <c r="G5" s="94"/>
      <c r="H5" s="94"/>
      <c r="I5" s="5"/>
      <c r="J5" s="5"/>
      <c r="K5" s="5"/>
      <c r="L5" s="5"/>
      <c r="M5" s="5"/>
      <c r="N5" s="5"/>
      <c r="O5" s="5"/>
      <c r="P5" s="5"/>
      <c r="Q5" s="5"/>
      <c r="R5" s="70"/>
    </row>
    <row r="6" spans="1:18" ht="15" customHeight="1" thickBot="1">
      <c r="A6" s="95"/>
      <c r="B6" s="8"/>
      <c r="C6" s="96" t="s">
        <v>122</v>
      </c>
      <c r="D6" s="96" t="s">
        <v>142</v>
      </c>
      <c r="E6" s="5"/>
      <c r="F6" s="97"/>
      <c r="G6" s="97"/>
      <c r="H6" s="97"/>
      <c r="I6" s="97"/>
      <c r="J6" s="97"/>
      <c r="K6" s="97"/>
      <c r="L6" s="97"/>
      <c r="M6" s="97"/>
      <c r="N6" s="97"/>
      <c r="O6" s="97"/>
      <c r="P6" s="70"/>
      <c r="Q6" s="98" t="s">
        <v>156</v>
      </c>
      <c r="R6" s="92" t="s">
        <v>0</v>
      </c>
    </row>
    <row r="7" spans="1:18" ht="15.75" thickBot="1">
      <c r="A7" s="99"/>
      <c r="B7" s="9"/>
      <c r="C7" s="10" t="s">
        <v>105</v>
      </c>
      <c r="D7" s="10" t="s">
        <v>141</v>
      </c>
      <c r="E7" s="60" t="s">
        <v>93</v>
      </c>
      <c r="F7" s="49" t="s">
        <v>94</v>
      </c>
      <c r="G7" s="44" t="s">
        <v>95</v>
      </c>
      <c r="H7" s="49" t="s">
        <v>96</v>
      </c>
      <c r="I7" s="44" t="s">
        <v>97</v>
      </c>
      <c r="J7" s="49" t="s">
        <v>98</v>
      </c>
      <c r="K7" s="44" t="s">
        <v>99</v>
      </c>
      <c r="L7" s="51" t="s">
        <v>100</v>
      </c>
      <c r="M7" s="49" t="s">
        <v>101</v>
      </c>
      <c r="N7" s="44" t="s">
        <v>102</v>
      </c>
      <c r="O7" s="44" t="s">
        <v>103</v>
      </c>
      <c r="P7" s="48" t="s">
        <v>104</v>
      </c>
      <c r="Q7" s="27" t="s">
        <v>146</v>
      </c>
      <c r="R7" s="10" t="s">
        <v>1</v>
      </c>
    </row>
    <row r="8" spans="1:18" ht="15.75" thickBot="1">
      <c r="A8" s="100"/>
      <c r="B8" s="12"/>
      <c r="C8" s="27" t="s">
        <v>77</v>
      </c>
      <c r="D8" s="27" t="s">
        <v>76</v>
      </c>
      <c r="E8" s="43"/>
      <c r="F8" s="49"/>
      <c r="G8" s="44"/>
      <c r="H8" s="49"/>
      <c r="I8" s="44"/>
      <c r="J8" s="49"/>
      <c r="K8" s="44"/>
      <c r="L8" s="51"/>
      <c r="M8" s="49"/>
      <c r="N8" s="44"/>
      <c r="O8" s="44"/>
      <c r="P8" s="60"/>
      <c r="Q8" s="27" t="s">
        <v>29</v>
      </c>
      <c r="R8" s="27" t="s">
        <v>74</v>
      </c>
    </row>
    <row r="9" spans="1:18" ht="15.75" thickBot="1">
      <c r="A9" s="99"/>
      <c r="B9" s="54" t="s">
        <v>138</v>
      </c>
      <c r="C9" s="13"/>
      <c r="D9" s="13"/>
      <c r="E9" s="52"/>
      <c r="F9" s="72"/>
      <c r="G9" s="68"/>
      <c r="H9" s="75"/>
      <c r="I9" s="53"/>
      <c r="J9" s="75">
        <v>58096254</v>
      </c>
      <c r="K9" s="72">
        <v>59615559</v>
      </c>
      <c r="L9" s="72">
        <v>59399349</v>
      </c>
      <c r="M9" s="72">
        <v>59772837</v>
      </c>
      <c r="N9" s="68">
        <v>58337940</v>
      </c>
      <c r="O9" s="68">
        <v>59613593</v>
      </c>
      <c r="P9" s="61"/>
      <c r="Q9" s="68">
        <v>59118007</v>
      </c>
      <c r="R9" s="13"/>
    </row>
    <row r="10" spans="1:18" ht="16.5" thickBot="1" thickTop="1">
      <c r="A10" s="101" t="s">
        <v>7</v>
      </c>
      <c r="B10" s="14" t="s">
        <v>87</v>
      </c>
      <c r="C10" s="122"/>
      <c r="D10" s="122"/>
      <c r="E10" s="123">
        <f>E13+E14</f>
        <v>50688115</v>
      </c>
      <c r="F10" s="124">
        <f>F13+F14</f>
        <v>51208520</v>
      </c>
      <c r="G10" s="125">
        <f aca="true" t="shared" si="0" ref="G10:N10">SUM(G13+G14)</f>
        <v>51503472</v>
      </c>
      <c r="H10" s="124">
        <f t="shared" si="0"/>
        <v>51829875</v>
      </c>
      <c r="I10" s="125">
        <f t="shared" si="0"/>
        <v>51503472</v>
      </c>
      <c r="J10" s="124">
        <f t="shared" si="0"/>
        <v>52614231</v>
      </c>
      <c r="K10" s="124">
        <f t="shared" si="0"/>
        <v>53287846</v>
      </c>
      <c r="L10" s="124">
        <f t="shared" si="0"/>
        <v>53851627</v>
      </c>
      <c r="M10" s="124">
        <f t="shared" si="0"/>
        <v>54222664</v>
      </c>
      <c r="N10" s="125">
        <f t="shared" si="0"/>
        <v>54188121</v>
      </c>
      <c r="O10" s="125">
        <f>SUM(O13+O14)</f>
        <v>54290849</v>
      </c>
      <c r="P10" s="126"/>
      <c r="Q10" s="125">
        <f>SUM(Q13+Q14)</f>
        <v>53986619</v>
      </c>
      <c r="R10" s="122"/>
    </row>
    <row r="11" spans="1:18" ht="15.75" thickTop="1">
      <c r="A11" s="102"/>
      <c r="B11" s="15" t="s">
        <v>68</v>
      </c>
      <c r="C11" s="127"/>
      <c r="D11" s="127"/>
      <c r="E11" s="128"/>
      <c r="F11" s="129"/>
      <c r="G11" s="130"/>
      <c r="H11" s="131"/>
      <c r="I11" s="130"/>
      <c r="J11" s="131"/>
      <c r="K11" s="131"/>
      <c r="L11" s="131"/>
      <c r="M11" s="131"/>
      <c r="N11" s="130"/>
      <c r="O11" s="130"/>
      <c r="P11" s="132"/>
      <c r="Q11" s="130"/>
      <c r="R11" s="127"/>
    </row>
    <row r="12" spans="1:18" ht="15">
      <c r="A12" s="102"/>
      <c r="B12" s="57" t="s">
        <v>90</v>
      </c>
      <c r="C12" s="127"/>
      <c r="D12" s="127"/>
      <c r="E12" s="133"/>
      <c r="F12" s="134"/>
      <c r="G12" s="135"/>
      <c r="H12" s="136"/>
      <c r="I12" s="135"/>
      <c r="J12" s="136"/>
      <c r="K12" s="136"/>
      <c r="L12" s="136"/>
      <c r="M12" s="136"/>
      <c r="N12" s="135"/>
      <c r="O12" s="135"/>
      <c r="P12" s="133"/>
      <c r="Q12" s="135"/>
      <c r="R12" s="127"/>
    </row>
    <row r="13" spans="1:18" ht="15">
      <c r="A13" s="103" t="s">
        <v>46</v>
      </c>
      <c r="B13" s="16" t="s">
        <v>62</v>
      </c>
      <c r="C13" s="137"/>
      <c r="D13" s="137"/>
      <c r="E13" s="138">
        <v>4167299</v>
      </c>
      <c r="F13" s="139">
        <v>4421961</v>
      </c>
      <c r="G13" s="140">
        <v>4630401</v>
      </c>
      <c r="H13" s="139">
        <v>4835063</v>
      </c>
      <c r="I13" s="140">
        <v>4630401</v>
      </c>
      <c r="J13" s="139">
        <v>5154423</v>
      </c>
      <c r="K13" s="139">
        <v>5138736</v>
      </c>
      <c r="L13" s="139">
        <v>5074416</v>
      </c>
      <c r="M13" s="139">
        <v>4955203</v>
      </c>
      <c r="N13" s="140">
        <v>4870230</v>
      </c>
      <c r="O13" s="140">
        <v>5062311</v>
      </c>
      <c r="P13" s="141"/>
      <c r="Q13" s="140">
        <v>5109663</v>
      </c>
      <c r="R13" s="137"/>
    </row>
    <row r="14" spans="1:18" ht="15">
      <c r="A14" s="103" t="s">
        <v>47</v>
      </c>
      <c r="B14" s="17" t="s">
        <v>61</v>
      </c>
      <c r="C14" s="142"/>
      <c r="D14" s="142"/>
      <c r="E14" s="143">
        <f aca="true" t="shared" si="1" ref="E14:N14">SUM(E15+E18)</f>
        <v>46520816</v>
      </c>
      <c r="F14" s="144">
        <f t="shared" si="1"/>
        <v>46786559</v>
      </c>
      <c r="G14" s="145">
        <f t="shared" si="1"/>
        <v>46873071</v>
      </c>
      <c r="H14" s="144">
        <f t="shared" si="1"/>
        <v>46994812</v>
      </c>
      <c r="I14" s="145">
        <f t="shared" si="1"/>
        <v>46873071</v>
      </c>
      <c r="J14" s="144">
        <f t="shared" si="1"/>
        <v>47459808</v>
      </c>
      <c r="K14" s="144">
        <f t="shared" si="1"/>
        <v>48149110</v>
      </c>
      <c r="L14" s="144">
        <f t="shared" si="1"/>
        <v>48777211</v>
      </c>
      <c r="M14" s="144">
        <f t="shared" si="1"/>
        <v>49267461</v>
      </c>
      <c r="N14" s="145">
        <f t="shared" si="1"/>
        <v>49317891</v>
      </c>
      <c r="O14" s="145">
        <f>SUM(O15+O18)</f>
        <v>49228538</v>
      </c>
      <c r="P14" s="146"/>
      <c r="Q14" s="145">
        <f>SUM(Q15+Q18)</f>
        <v>48876956</v>
      </c>
      <c r="R14" s="142"/>
    </row>
    <row r="15" spans="1:18" ht="15">
      <c r="A15" s="104" t="s">
        <v>48</v>
      </c>
      <c r="B15" s="17" t="s">
        <v>50</v>
      </c>
      <c r="C15" s="142"/>
      <c r="D15" s="142"/>
      <c r="E15" s="143">
        <f aca="true" t="shared" si="2" ref="E15:N15">SUM(E16:E17)</f>
        <v>19012247</v>
      </c>
      <c r="F15" s="144">
        <f t="shared" si="2"/>
        <v>19317963</v>
      </c>
      <c r="G15" s="145">
        <f t="shared" si="2"/>
        <v>19456813</v>
      </c>
      <c r="H15" s="144">
        <f t="shared" si="2"/>
        <v>19696990</v>
      </c>
      <c r="I15" s="145">
        <f t="shared" si="2"/>
        <v>19456813</v>
      </c>
      <c r="J15" s="144">
        <f t="shared" si="2"/>
        <v>20198188</v>
      </c>
      <c r="K15" s="144">
        <f t="shared" si="2"/>
        <v>20717992</v>
      </c>
      <c r="L15" s="144">
        <f t="shared" si="2"/>
        <v>21144530</v>
      </c>
      <c r="M15" s="144">
        <f t="shared" si="2"/>
        <v>21499722</v>
      </c>
      <c r="N15" s="145">
        <f t="shared" si="2"/>
        <v>21428202</v>
      </c>
      <c r="O15" s="145">
        <f>SUM(O16:O17)</f>
        <v>21273537</v>
      </c>
      <c r="P15" s="146"/>
      <c r="Q15" s="145">
        <f>SUM(Q16:Q17)</f>
        <v>21020488</v>
      </c>
      <c r="R15" s="142"/>
    </row>
    <row r="16" spans="1:18" ht="15">
      <c r="A16" s="102"/>
      <c r="B16" s="16" t="s">
        <v>52</v>
      </c>
      <c r="C16" s="137"/>
      <c r="D16" s="137"/>
      <c r="E16" s="138">
        <v>2723044</v>
      </c>
      <c r="F16" s="139">
        <v>2767790</v>
      </c>
      <c r="G16" s="140">
        <v>2786544</v>
      </c>
      <c r="H16" s="139">
        <v>2805747</v>
      </c>
      <c r="I16" s="140">
        <v>2786544</v>
      </c>
      <c r="J16" s="139">
        <v>2880196</v>
      </c>
      <c r="K16" s="139">
        <v>2956379</v>
      </c>
      <c r="L16" s="139">
        <v>3018788</v>
      </c>
      <c r="M16" s="139">
        <v>3071002</v>
      </c>
      <c r="N16" s="140">
        <v>2960597</v>
      </c>
      <c r="O16" s="140">
        <v>2898314</v>
      </c>
      <c r="P16" s="141"/>
      <c r="Q16" s="140">
        <v>2840462</v>
      </c>
      <c r="R16" s="137"/>
    </row>
    <row r="17" spans="1:18" ht="15">
      <c r="A17" s="102"/>
      <c r="B17" s="16" t="s">
        <v>53</v>
      </c>
      <c r="C17" s="137"/>
      <c r="D17" s="137"/>
      <c r="E17" s="138">
        <v>16289203</v>
      </c>
      <c r="F17" s="139">
        <v>16550173</v>
      </c>
      <c r="G17" s="140">
        <v>16670269</v>
      </c>
      <c r="H17" s="139">
        <v>16891243</v>
      </c>
      <c r="I17" s="140">
        <v>16670269</v>
      </c>
      <c r="J17" s="139">
        <v>17317992</v>
      </c>
      <c r="K17" s="139">
        <v>17761613</v>
      </c>
      <c r="L17" s="139">
        <v>18125742</v>
      </c>
      <c r="M17" s="139">
        <v>18428720</v>
      </c>
      <c r="N17" s="140">
        <v>18467605</v>
      </c>
      <c r="O17" s="140">
        <v>18375223</v>
      </c>
      <c r="P17" s="141"/>
      <c r="Q17" s="140">
        <v>18180026</v>
      </c>
      <c r="R17" s="137"/>
    </row>
    <row r="18" spans="1:18" ht="15">
      <c r="A18" s="104" t="s">
        <v>49</v>
      </c>
      <c r="B18" s="17" t="s">
        <v>51</v>
      </c>
      <c r="C18" s="142"/>
      <c r="D18" s="142"/>
      <c r="E18" s="143">
        <f aca="true" t="shared" si="3" ref="E18:N18">SUM(E19:E20)</f>
        <v>27508569</v>
      </c>
      <c r="F18" s="144">
        <f t="shared" si="3"/>
        <v>27468596</v>
      </c>
      <c r="G18" s="145">
        <f t="shared" si="3"/>
        <v>27416258</v>
      </c>
      <c r="H18" s="144">
        <f t="shared" si="3"/>
        <v>27297822</v>
      </c>
      <c r="I18" s="145">
        <f t="shared" si="3"/>
        <v>27416258</v>
      </c>
      <c r="J18" s="144">
        <f t="shared" si="3"/>
        <v>27261620</v>
      </c>
      <c r="K18" s="144">
        <f t="shared" si="3"/>
        <v>27431118</v>
      </c>
      <c r="L18" s="144">
        <f t="shared" si="3"/>
        <v>27632681</v>
      </c>
      <c r="M18" s="144">
        <f t="shared" si="3"/>
        <v>27767739</v>
      </c>
      <c r="N18" s="145">
        <f t="shared" si="3"/>
        <v>27889689</v>
      </c>
      <c r="O18" s="145">
        <f>SUM(O19:O20)</f>
        <v>27955001</v>
      </c>
      <c r="P18" s="146"/>
      <c r="Q18" s="145">
        <f>SUM(Q19:Q20)</f>
        <v>27856468</v>
      </c>
      <c r="R18" s="142"/>
    </row>
    <row r="19" spans="1:18" ht="15">
      <c r="A19" s="102"/>
      <c r="B19" s="16" t="s">
        <v>54</v>
      </c>
      <c r="C19" s="147"/>
      <c r="D19" s="147"/>
      <c r="E19" s="148">
        <v>4064069</v>
      </c>
      <c r="F19" s="139">
        <v>4057664</v>
      </c>
      <c r="G19" s="149">
        <v>4048840</v>
      </c>
      <c r="H19" s="150">
        <v>4031543</v>
      </c>
      <c r="I19" s="149">
        <v>4048840</v>
      </c>
      <c r="J19" s="150">
        <v>4026193</v>
      </c>
      <c r="K19" s="150">
        <v>4051120</v>
      </c>
      <c r="L19" s="150">
        <v>4080815</v>
      </c>
      <c r="M19" s="150">
        <v>4100699</v>
      </c>
      <c r="N19" s="149">
        <v>4118634</v>
      </c>
      <c r="O19" s="149">
        <v>4127760</v>
      </c>
      <c r="P19" s="151"/>
      <c r="Q19" s="149">
        <v>4114406</v>
      </c>
      <c r="R19" s="147"/>
    </row>
    <row r="20" spans="1:18" ht="15.75" thickBot="1">
      <c r="A20" s="102"/>
      <c r="B20" s="18" t="s">
        <v>55</v>
      </c>
      <c r="C20" s="152"/>
      <c r="D20" s="152"/>
      <c r="E20" s="153">
        <v>23444500</v>
      </c>
      <c r="F20" s="154">
        <v>23410932</v>
      </c>
      <c r="G20" s="155">
        <v>23367418</v>
      </c>
      <c r="H20" s="154">
        <v>23266279</v>
      </c>
      <c r="I20" s="155">
        <v>23367418</v>
      </c>
      <c r="J20" s="154">
        <v>23235427</v>
      </c>
      <c r="K20" s="154">
        <v>23379998</v>
      </c>
      <c r="L20" s="154">
        <v>23551866</v>
      </c>
      <c r="M20" s="154">
        <v>23667040</v>
      </c>
      <c r="N20" s="155">
        <v>23771055</v>
      </c>
      <c r="O20" s="155">
        <v>23827241</v>
      </c>
      <c r="P20" s="156"/>
      <c r="Q20" s="155">
        <v>23742062</v>
      </c>
      <c r="R20" s="152"/>
    </row>
    <row r="21" spans="1:18" ht="15">
      <c r="A21" s="102"/>
      <c r="B21" s="9" t="s">
        <v>133</v>
      </c>
      <c r="C21" s="157">
        <v>92.5</v>
      </c>
      <c r="D21" s="157">
        <f>+C21</f>
        <v>92.5</v>
      </c>
      <c r="E21" s="158"/>
      <c r="F21" s="159"/>
      <c r="G21" s="160"/>
      <c r="H21" s="159"/>
      <c r="I21" s="160"/>
      <c r="J21" s="160"/>
      <c r="K21" s="159"/>
      <c r="L21" s="160"/>
      <c r="M21" s="161"/>
      <c r="N21" s="160"/>
      <c r="O21" s="160"/>
      <c r="P21" s="161"/>
      <c r="Q21" s="162">
        <v>93.6</v>
      </c>
      <c r="R21" s="157"/>
    </row>
    <row r="22" spans="1:18" ht="15.75" thickBot="1">
      <c r="A22" s="102"/>
      <c r="B22" s="12" t="s">
        <v>69</v>
      </c>
      <c r="C22" s="163">
        <v>5.5</v>
      </c>
      <c r="D22" s="163">
        <v>5.5</v>
      </c>
      <c r="E22" s="164"/>
      <c r="F22" s="165"/>
      <c r="G22" s="166"/>
      <c r="H22" s="165"/>
      <c r="I22" s="166"/>
      <c r="J22" s="166"/>
      <c r="K22" s="165"/>
      <c r="L22" s="166"/>
      <c r="M22" s="167"/>
      <c r="N22" s="166"/>
      <c r="O22" s="166"/>
      <c r="P22" s="167"/>
      <c r="Q22" s="403">
        <v>4.69</v>
      </c>
      <c r="R22" s="163"/>
    </row>
    <row r="23" spans="1:18" ht="15.75" thickBot="1">
      <c r="A23" s="102"/>
      <c r="B23" s="105"/>
      <c r="C23" s="168"/>
      <c r="D23" s="168"/>
      <c r="E23" s="169"/>
      <c r="F23" s="170"/>
      <c r="G23" s="171"/>
      <c r="H23" s="171"/>
      <c r="I23" s="171"/>
      <c r="J23" s="171"/>
      <c r="K23" s="170"/>
      <c r="L23" s="171"/>
      <c r="M23" s="172"/>
      <c r="N23" s="171"/>
      <c r="O23" s="171"/>
      <c r="P23" s="172"/>
      <c r="Q23" s="168"/>
      <c r="R23" s="168"/>
    </row>
    <row r="24" spans="1:18" ht="16.5" thickBot="1" thickTop="1">
      <c r="A24" s="106"/>
      <c r="B24" s="20" t="s">
        <v>71</v>
      </c>
      <c r="C24" s="173">
        <f>C26+C55</f>
        <v>106342540</v>
      </c>
      <c r="D24" s="173">
        <f>D26+D55</f>
        <v>106342540</v>
      </c>
      <c r="E24" s="174">
        <f aca="true" t="shared" si="4" ref="E24:P24">SUM(E26+E52+E55)</f>
        <v>8470548</v>
      </c>
      <c r="F24" s="175">
        <f t="shared" si="4"/>
        <v>8637492</v>
      </c>
      <c r="G24" s="176">
        <f t="shared" si="4"/>
        <v>8625080</v>
      </c>
      <c r="H24" s="176">
        <f t="shared" si="4"/>
        <v>8635380</v>
      </c>
      <c r="I24" s="176">
        <f t="shared" si="4"/>
        <v>8628433</v>
      </c>
      <c r="J24" s="176">
        <f t="shared" si="4"/>
        <v>8222154</v>
      </c>
      <c r="K24" s="175">
        <f t="shared" si="4"/>
        <v>8887793</v>
      </c>
      <c r="L24" s="176">
        <f t="shared" si="4"/>
        <v>9474667</v>
      </c>
      <c r="M24" s="177">
        <f t="shared" si="4"/>
        <v>8823253</v>
      </c>
      <c r="N24" s="176">
        <f t="shared" si="4"/>
        <v>10224857</v>
      </c>
      <c r="O24" s="176">
        <f t="shared" si="4"/>
        <v>8784476</v>
      </c>
      <c r="P24" s="177">
        <f t="shared" si="4"/>
        <v>9237945</v>
      </c>
      <c r="Q24" s="178">
        <f>SUM(E24:P24)</f>
        <v>106652078</v>
      </c>
      <c r="R24" s="179"/>
    </row>
    <row r="25" spans="1:18" ht="16.5" thickBot="1" thickTop="1">
      <c r="A25" s="107"/>
      <c r="B25" s="21"/>
      <c r="C25" s="180" t="s">
        <v>130</v>
      </c>
      <c r="D25" s="180"/>
      <c r="E25" s="181"/>
      <c r="F25" s="182"/>
      <c r="G25" s="183"/>
      <c r="H25" s="183"/>
      <c r="I25" s="183"/>
      <c r="J25" s="183"/>
      <c r="K25" s="182"/>
      <c r="L25" s="183"/>
      <c r="M25" s="184"/>
      <c r="N25" s="183"/>
      <c r="O25" s="183"/>
      <c r="P25" s="184"/>
      <c r="Q25" s="180" t="s">
        <v>140</v>
      </c>
      <c r="R25" s="185"/>
    </row>
    <row r="26" spans="1:18" ht="15.75" thickBot="1">
      <c r="A26" s="108" t="s">
        <v>42</v>
      </c>
      <c r="B26" s="109" t="s">
        <v>67</v>
      </c>
      <c r="C26" s="186">
        <f>C28+C30+C33+C35+C37</f>
        <v>90496371</v>
      </c>
      <c r="D26" s="186">
        <f>D28+D30+D33+D35+D37</f>
        <v>90496371</v>
      </c>
      <c r="E26" s="186">
        <f>E28+E30+E33+E35+E37</f>
        <v>7278864</v>
      </c>
      <c r="F26" s="187">
        <f>F28+F30+F33+F35+F37</f>
        <v>7399110</v>
      </c>
      <c r="G26" s="188">
        <f>G28+G30+G33+G35+G37</f>
        <v>7390467</v>
      </c>
      <c r="H26" s="188">
        <f aca="true" t="shared" si="5" ref="H26:O26">H28+H30+H33+H35+H37</f>
        <v>7383629</v>
      </c>
      <c r="I26" s="188">
        <f t="shared" si="5"/>
        <v>7387442</v>
      </c>
      <c r="J26" s="188">
        <f t="shared" si="5"/>
        <v>6981843</v>
      </c>
      <c r="K26" s="189">
        <f>K28+K30+K33+K35+K37</f>
        <v>7637526</v>
      </c>
      <c r="L26" s="188">
        <f>L28+L30+L33+L35+L37</f>
        <v>8126795</v>
      </c>
      <c r="M26" s="190">
        <f>M28+M30+M33+M35+M37</f>
        <v>7398842</v>
      </c>
      <c r="N26" s="188">
        <f t="shared" si="5"/>
        <v>8838590</v>
      </c>
      <c r="O26" s="188">
        <f t="shared" si="5"/>
        <v>7381668</v>
      </c>
      <c r="P26" s="191">
        <f>P28+P30+P33+P35+P37</f>
        <v>8150188</v>
      </c>
      <c r="Q26" s="186">
        <f>SUM(E26:P26)</f>
        <v>91354964</v>
      </c>
      <c r="R26" s="192">
        <f>Q26/C26*100</f>
        <v>100.94875959169678</v>
      </c>
    </row>
    <row r="27" spans="1:18" ht="15">
      <c r="A27" s="107"/>
      <c r="B27" s="22"/>
      <c r="C27" s="193"/>
      <c r="D27" s="193"/>
      <c r="E27" s="194"/>
      <c r="F27" s="195"/>
      <c r="G27" s="196"/>
      <c r="H27" s="196"/>
      <c r="I27" s="196"/>
      <c r="J27" s="196"/>
      <c r="K27" s="195"/>
      <c r="L27" s="196"/>
      <c r="M27" s="197"/>
      <c r="N27" s="196"/>
      <c r="O27" s="196"/>
      <c r="P27" s="197"/>
      <c r="Q27" s="157"/>
      <c r="R27" s="157"/>
    </row>
    <row r="28" spans="1:18" ht="15">
      <c r="A28" s="64" t="s">
        <v>10</v>
      </c>
      <c r="B28" s="110" t="s">
        <v>65</v>
      </c>
      <c r="C28" s="142">
        <v>9550534</v>
      </c>
      <c r="D28" s="142">
        <v>9550534</v>
      </c>
      <c r="E28" s="143">
        <v>731647</v>
      </c>
      <c r="F28" s="144">
        <v>852623</v>
      </c>
      <c r="G28" s="145">
        <v>773032</v>
      </c>
      <c r="H28" s="145">
        <v>728015</v>
      </c>
      <c r="I28" s="145">
        <v>713582</v>
      </c>
      <c r="J28" s="145">
        <v>695281</v>
      </c>
      <c r="K28" s="144">
        <v>633661</v>
      </c>
      <c r="L28" s="145">
        <v>665071</v>
      </c>
      <c r="M28" s="146">
        <v>654330</v>
      </c>
      <c r="N28" s="145">
        <v>682813</v>
      </c>
      <c r="O28" s="145">
        <v>782416</v>
      </c>
      <c r="P28" s="146">
        <v>750623</v>
      </c>
      <c r="Q28" s="142">
        <f>SUM(E28:P28)</f>
        <v>8663094</v>
      </c>
      <c r="R28" s="198">
        <f>Q28/C28*100</f>
        <v>90.7079541311512</v>
      </c>
    </row>
    <row r="29" spans="1:18" ht="15">
      <c r="A29" s="107"/>
      <c r="B29" s="23"/>
      <c r="C29" s="199" t="s">
        <v>131</v>
      </c>
      <c r="D29" s="199"/>
      <c r="E29" s="200"/>
      <c r="F29" s="201"/>
      <c r="G29" s="202"/>
      <c r="H29" s="202"/>
      <c r="I29" s="202"/>
      <c r="J29" s="202"/>
      <c r="K29" s="201"/>
      <c r="L29" s="202"/>
      <c r="M29" s="203"/>
      <c r="N29" s="202"/>
      <c r="O29" s="202"/>
      <c r="P29" s="203"/>
      <c r="Q29" s="204" t="s">
        <v>152</v>
      </c>
      <c r="R29" s="204"/>
    </row>
    <row r="30" spans="1:18" ht="15">
      <c r="A30" s="64" t="s">
        <v>11</v>
      </c>
      <c r="B30" s="65" t="s">
        <v>66</v>
      </c>
      <c r="C30" s="142">
        <v>77693476</v>
      </c>
      <c r="D30" s="142">
        <v>77693476</v>
      </c>
      <c r="E30" s="143">
        <v>6425745</v>
      </c>
      <c r="F30" s="144">
        <v>6408592</v>
      </c>
      <c r="G30" s="145">
        <v>6458295</v>
      </c>
      <c r="H30" s="145">
        <v>6476323</v>
      </c>
      <c r="I30" s="145">
        <v>6465161</v>
      </c>
      <c r="J30" s="145">
        <v>6038926</v>
      </c>
      <c r="K30" s="144">
        <v>6723296</v>
      </c>
      <c r="L30" s="145">
        <v>7273825</v>
      </c>
      <c r="M30" s="146">
        <v>6341326</v>
      </c>
      <c r="N30" s="145">
        <v>7846607</v>
      </c>
      <c r="O30" s="145">
        <v>6315586</v>
      </c>
      <c r="P30" s="146">
        <v>6851734</v>
      </c>
      <c r="Q30" s="142">
        <f>SUM(E30:P30)</f>
        <v>79625416</v>
      </c>
      <c r="R30" s="198">
        <f>Q30/C30*100</f>
        <v>102.48661805271783</v>
      </c>
    </row>
    <row r="31" spans="1:18" ht="15">
      <c r="A31" s="107"/>
      <c r="B31" s="23"/>
      <c r="C31" s="199" t="s">
        <v>132</v>
      </c>
      <c r="D31" s="199"/>
      <c r="E31" s="200"/>
      <c r="F31" s="201"/>
      <c r="G31" s="202"/>
      <c r="H31" s="202"/>
      <c r="I31" s="202"/>
      <c r="J31" s="202"/>
      <c r="K31" s="201"/>
      <c r="L31" s="202"/>
      <c r="M31" s="203"/>
      <c r="N31" s="202"/>
      <c r="O31" s="202"/>
      <c r="P31" s="203"/>
      <c r="Q31" s="205" t="s">
        <v>151</v>
      </c>
      <c r="R31" s="204"/>
    </row>
    <row r="32" spans="1:18" ht="15">
      <c r="A32" s="107"/>
      <c r="B32" s="69" t="s">
        <v>75</v>
      </c>
      <c r="C32" s="206"/>
      <c r="D32" s="206"/>
      <c r="E32" s="207" t="s">
        <v>78</v>
      </c>
      <c r="F32" s="207" t="s">
        <v>78</v>
      </c>
      <c r="G32" s="208" t="s">
        <v>78</v>
      </c>
      <c r="H32" s="208" t="s">
        <v>78</v>
      </c>
      <c r="I32" s="209" t="s">
        <v>78</v>
      </c>
      <c r="J32" s="208">
        <v>437000</v>
      </c>
      <c r="K32" s="210"/>
      <c r="L32" s="208">
        <v>456000</v>
      </c>
      <c r="M32" s="211"/>
      <c r="N32" s="208" t="s">
        <v>139</v>
      </c>
      <c r="O32" s="208" t="s">
        <v>78</v>
      </c>
      <c r="P32" s="211" t="s">
        <v>78</v>
      </c>
      <c r="Q32" s="212"/>
      <c r="R32" s="212"/>
    </row>
    <row r="33" spans="1:18" ht="15">
      <c r="A33" s="64" t="s">
        <v>37</v>
      </c>
      <c r="B33" s="65" t="s">
        <v>129</v>
      </c>
      <c r="C33" s="213">
        <v>331866</v>
      </c>
      <c r="D33" s="213">
        <v>331866</v>
      </c>
      <c r="E33" s="143"/>
      <c r="F33" s="144"/>
      <c r="G33" s="145"/>
      <c r="H33" s="145">
        <v>8814</v>
      </c>
      <c r="I33" s="145">
        <v>24410</v>
      </c>
      <c r="J33" s="145">
        <v>32805</v>
      </c>
      <c r="K33" s="144">
        <v>26770</v>
      </c>
      <c r="L33" s="145">
        <v>34972</v>
      </c>
      <c r="M33" s="146">
        <v>39843</v>
      </c>
      <c r="N33" s="145">
        <v>43835</v>
      </c>
      <c r="O33" s="145">
        <v>29730</v>
      </c>
      <c r="P33" s="146">
        <v>56364</v>
      </c>
      <c r="Q33" s="142">
        <f>SUM(E33:P33)</f>
        <v>297543</v>
      </c>
      <c r="R33" s="142"/>
    </row>
    <row r="34" spans="1:23" ht="15">
      <c r="A34" s="64"/>
      <c r="B34" s="65"/>
      <c r="C34" s="213"/>
      <c r="D34" s="213"/>
      <c r="E34" s="143"/>
      <c r="F34" s="144"/>
      <c r="G34" s="145"/>
      <c r="H34" s="145"/>
      <c r="I34" s="145"/>
      <c r="J34" s="145"/>
      <c r="K34" s="144"/>
      <c r="L34" s="145"/>
      <c r="M34" s="146"/>
      <c r="N34" s="145"/>
      <c r="O34" s="145"/>
      <c r="P34" s="146"/>
      <c r="Q34" s="214"/>
      <c r="R34" s="142"/>
      <c r="S34" s="70"/>
      <c r="T34" s="70"/>
      <c r="U34" s="70"/>
      <c r="V34" s="70"/>
      <c r="W34" s="70"/>
    </row>
    <row r="35" spans="1:18" ht="15">
      <c r="A35" s="64" t="s">
        <v>39</v>
      </c>
      <c r="B35" s="65" t="s">
        <v>41</v>
      </c>
      <c r="C35" s="142">
        <v>0</v>
      </c>
      <c r="D35" s="142">
        <v>0</v>
      </c>
      <c r="E35" s="215">
        <v>0</v>
      </c>
      <c r="F35" s="216">
        <v>0</v>
      </c>
      <c r="G35" s="217">
        <v>0</v>
      </c>
      <c r="H35" s="217">
        <v>0</v>
      </c>
      <c r="I35" s="217">
        <v>0</v>
      </c>
      <c r="J35" s="217">
        <v>0</v>
      </c>
      <c r="K35" s="216">
        <v>0</v>
      </c>
      <c r="L35" s="217">
        <v>0</v>
      </c>
      <c r="M35" s="218">
        <v>0</v>
      </c>
      <c r="N35" s="217">
        <v>0</v>
      </c>
      <c r="O35" s="217">
        <v>0</v>
      </c>
      <c r="P35" s="218">
        <v>0</v>
      </c>
      <c r="Q35" s="142">
        <f>SUM(E35:P35)</f>
        <v>0</v>
      </c>
      <c r="R35" s="219"/>
    </row>
    <row r="36" spans="1:29" ht="15">
      <c r="A36" s="64"/>
      <c r="B36" s="65"/>
      <c r="C36" s="142"/>
      <c r="D36" s="142"/>
      <c r="E36" s="215"/>
      <c r="F36" s="216"/>
      <c r="G36" s="217"/>
      <c r="H36" s="217"/>
      <c r="I36" s="217"/>
      <c r="J36" s="217"/>
      <c r="K36" s="216"/>
      <c r="L36" s="217"/>
      <c r="M36" s="218"/>
      <c r="N36" s="217"/>
      <c r="O36" s="217"/>
      <c r="P36" s="218"/>
      <c r="Q36" s="142"/>
      <c r="R36" s="21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1:20" ht="15">
      <c r="A37" s="64" t="s">
        <v>128</v>
      </c>
      <c r="B37" s="65" t="s">
        <v>168</v>
      </c>
      <c r="C37" s="142">
        <v>2920495</v>
      </c>
      <c r="D37" s="142">
        <v>2920495</v>
      </c>
      <c r="E37" s="218">
        <f>SUM(E38:E40)</f>
        <v>121472</v>
      </c>
      <c r="F37" s="216">
        <f>SUM(F38:F40)</f>
        <v>137895</v>
      </c>
      <c r="G37" s="217">
        <f>SUM(G38+G40)</f>
        <v>159140</v>
      </c>
      <c r="H37" s="217">
        <f>SUM(H38+H40)</f>
        <v>170477</v>
      </c>
      <c r="I37" s="217">
        <f>SUM(I38+I40)</f>
        <v>184289</v>
      </c>
      <c r="J37" s="217">
        <f>SUM(J38:J40)-J45</f>
        <v>214831</v>
      </c>
      <c r="K37" s="217">
        <f>SUM(K38+K40)</f>
        <v>253799</v>
      </c>
      <c r="L37" s="217">
        <f>SUM(L38+L40)</f>
        <v>152927</v>
      </c>
      <c r="M37" s="216">
        <f>SUM(M38+M40)</f>
        <v>363343</v>
      </c>
      <c r="N37" s="217">
        <f>SUM(N38:N40)-N45</f>
        <v>265335</v>
      </c>
      <c r="O37" s="217">
        <f>SUM(O38:O40)-O45</f>
        <v>253936</v>
      </c>
      <c r="P37" s="218">
        <f>SUM(P38:P40)-P45</f>
        <v>491467</v>
      </c>
      <c r="Q37" s="142">
        <f>SUM(E37:P37)</f>
        <v>2768911</v>
      </c>
      <c r="R37" s="198">
        <f>Q37/C37*100</f>
        <v>94.80964699477315</v>
      </c>
      <c r="S37" s="80" t="s">
        <v>158</v>
      </c>
      <c r="T37" s="73"/>
    </row>
    <row r="38" spans="1:20" ht="15">
      <c r="A38" s="84"/>
      <c r="B38" s="24" t="s">
        <v>166</v>
      </c>
      <c r="C38" s="213"/>
      <c r="D38" s="213"/>
      <c r="E38" s="138">
        <v>44</v>
      </c>
      <c r="F38" s="139">
        <v>9372</v>
      </c>
      <c r="G38" s="140">
        <v>26256</v>
      </c>
      <c r="H38" s="140">
        <v>23966</v>
      </c>
      <c r="I38" s="140">
        <v>42728</v>
      </c>
      <c r="J38" s="140">
        <v>35767</v>
      </c>
      <c r="K38" s="139">
        <v>29473</v>
      </c>
      <c r="L38" s="140">
        <v>12433</v>
      </c>
      <c r="M38" s="141">
        <v>202636</v>
      </c>
      <c r="N38" s="140">
        <v>96468</v>
      </c>
      <c r="O38" s="140">
        <v>36531</v>
      </c>
      <c r="P38" s="141">
        <v>202036</v>
      </c>
      <c r="Q38" s="142">
        <f>SUM(E38:P38)</f>
        <v>717710</v>
      </c>
      <c r="R38" s="220"/>
      <c r="S38" s="80"/>
      <c r="T38" s="73"/>
    </row>
    <row r="39" spans="1:20" ht="15">
      <c r="A39" s="84"/>
      <c r="B39" s="58" t="s">
        <v>164</v>
      </c>
      <c r="C39" s="221"/>
      <c r="D39" s="221"/>
      <c r="E39" s="138"/>
      <c r="F39" s="139"/>
      <c r="G39" s="140"/>
      <c r="H39" s="140"/>
      <c r="I39" s="140"/>
      <c r="J39" s="140"/>
      <c r="K39" s="139"/>
      <c r="L39" s="140"/>
      <c r="M39" s="141"/>
      <c r="N39" s="140"/>
      <c r="O39" s="140"/>
      <c r="P39" s="141"/>
      <c r="Q39" s="222">
        <v>114677</v>
      </c>
      <c r="R39" s="220"/>
      <c r="S39" s="80"/>
      <c r="T39" s="73"/>
    </row>
    <row r="40" spans="1:20" ht="15">
      <c r="A40" s="84"/>
      <c r="B40" s="24" t="s">
        <v>165</v>
      </c>
      <c r="C40" s="221"/>
      <c r="D40" s="221"/>
      <c r="E40" s="138">
        <v>121428</v>
      </c>
      <c r="F40" s="139">
        <v>128523</v>
      </c>
      <c r="G40" s="140">
        <v>132884</v>
      </c>
      <c r="H40" s="140">
        <v>146511</v>
      </c>
      <c r="I40" s="140">
        <v>141561</v>
      </c>
      <c r="J40" s="140">
        <v>179064</v>
      </c>
      <c r="K40" s="139">
        <v>224326</v>
      </c>
      <c r="L40" s="140">
        <v>140494</v>
      </c>
      <c r="M40" s="141">
        <v>160707</v>
      </c>
      <c r="N40" s="140">
        <v>168867</v>
      </c>
      <c r="O40" s="140">
        <v>217405</v>
      </c>
      <c r="P40" s="141">
        <v>289431</v>
      </c>
      <c r="Q40" s="142">
        <f>SUM(E40:P40)</f>
        <v>2051201</v>
      </c>
      <c r="R40" s="220"/>
      <c r="S40" s="80"/>
      <c r="T40" s="73"/>
    </row>
    <row r="41" spans="1:20" ht="15">
      <c r="A41" s="64"/>
      <c r="B41" s="58" t="s">
        <v>164</v>
      </c>
      <c r="C41" s="142"/>
      <c r="D41" s="142"/>
      <c r="E41" s="218"/>
      <c r="F41" s="216"/>
      <c r="G41" s="217"/>
      <c r="H41" s="217"/>
      <c r="I41" s="217"/>
      <c r="J41" s="217"/>
      <c r="K41" s="216"/>
      <c r="L41" s="217"/>
      <c r="M41" s="218"/>
      <c r="N41" s="217"/>
      <c r="O41" s="217"/>
      <c r="P41" s="218"/>
      <c r="Q41" s="222">
        <v>8311</v>
      </c>
      <c r="R41" s="198"/>
      <c r="S41" s="80"/>
      <c r="T41" s="73"/>
    </row>
    <row r="42" spans="1:20" ht="15">
      <c r="A42" s="111" t="s">
        <v>143</v>
      </c>
      <c r="B42" s="112" t="s">
        <v>162</v>
      </c>
      <c r="C42" s="142">
        <v>273797</v>
      </c>
      <c r="D42" s="142">
        <v>273797</v>
      </c>
      <c r="E42" s="215"/>
      <c r="F42" s="216"/>
      <c r="G42" s="223"/>
      <c r="H42" s="223"/>
      <c r="I42" s="223"/>
      <c r="J42" s="224"/>
      <c r="K42" s="225"/>
      <c r="L42" s="224"/>
      <c r="M42" s="226"/>
      <c r="N42" s="217"/>
      <c r="O42" s="217"/>
      <c r="P42" s="218"/>
      <c r="Q42" s="213">
        <v>122988</v>
      </c>
      <c r="R42" s="198">
        <f aca="true" t="shared" si="6" ref="R42:R48">Q42/C42*100</f>
        <v>44.919411096542326</v>
      </c>
      <c r="S42" s="80"/>
      <c r="T42" s="73"/>
    </row>
    <row r="43" spans="1:20" ht="15">
      <c r="A43" s="84"/>
      <c r="B43" s="71" t="s">
        <v>159</v>
      </c>
      <c r="C43" s="227">
        <v>249797</v>
      </c>
      <c r="D43" s="142"/>
      <c r="E43" s="215"/>
      <c r="F43" s="216"/>
      <c r="G43" s="223"/>
      <c r="H43" s="223"/>
      <c r="I43" s="223"/>
      <c r="J43" s="224"/>
      <c r="K43" s="225"/>
      <c r="L43" s="224"/>
      <c r="M43" s="226"/>
      <c r="N43" s="217"/>
      <c r="O43" s="217"/>
      <c r="P43" s="218"/>
      <c r="Q43" s="227">
        <v>106873</v>
      </c>
      <c r="R43" s="228">
        <f t="shared" si="6"/>
        <v>42.7839405597345</v>
      </c>
      <c r="S43" s="80"/>
      <c r="T43" s="73"/>
    </row>
    <row r="44" spans="1:20" ht="15">
      <c r="A44" s="84"/>
      <c r="B44" s="71" t="s">
        <v>160</v>
      </c>
      <c r="C44" s="227">
        <v>14000</v>
      </c>
      <c r="D44" s="142"/>
      <c r="E44" s="215"/>
      <c r="F44" s="216"/>
      <c r="G44" s="223"/>
      <c r="H44" s="223"/>
      <c r="I44" s="223"/>
      <c r="J44" s="224"/>
      <c r="K44" s="225"/>
      <c r="L44" s="224"/>
      <c r="M44" s="226"/>
      <c r="N44" s="217"/>
      <c r="O44" s="217"/>
      <c r="P44" s="218"/>
      <c r="Q44" s="227">
        <v>6130</v>
      </c>
      <c r="R44" s="228">
        <f t="shared" si="6"/>
        <v>43.785714285714285</v>
      </c>
      <c r="S44" s="80"/>
      <c r="T44" s="73"/>
    </row>
    <row r="45" spans="1:20" ht="15">
      <c r="A45" s="64"/>
      <c r="B45" s="71" t="s">
        <v>161</v>
      </c>
      <c r="C45" s="227">
        <v>10000</v>
      </c>
      <c r="D45" s="142"/>
      <c r="E45" s="215"/>
      <c r="F45" s="216"/>
      <c r="G45" s="223"/>
      <c r="H45" s="223"/>
      <c r="I45" s="223"/>
      <c r="J45" s="217"/>
      <c r="K45" s="216"/>
      <c r="L45" s="217"/>
      <c r="M45" s="218"/>
      <c r="N45" s="217"/>
      <c r="O45" s="217"/>
      <c r="P45" s="218"/>
      <c r="Q45" s="227">
        <v>9985</v>
      </c>
      <c r="R45" s="228">
        <f t="shared" si="6"/>
        <v>99.85000000000001</v>
      </c>
      <c r="S45" s="80"/>
      <c r="T45" s="73"/>
    </row>
    <row r="46" spans="1:20" ht="15">
      <c r="A46" s="64"/>
      <c r="B46" s="65" t="s">
        <v>163</v>
      </c>
      <c r="C46" s="142">
        <f>SUM(C48+C47)</f>
        <v>2646698</v>
      </c>
      <c r="D46" s="142">
        <f>SUM(D48+D47)</f>
        <v>2646698</v>
      </c>
      <c r="E46" s="218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6"/>
      <c r="Q46" s="142">
        <v>2645923</v>
      </c>
      <c r="R46" s="198">
        <f t="shared" si="6"/>
        <v>99.97071823079172</v>
      </c>
      <c r="S46" s="80"/>
      <c r="T46" s="73"/>
    </row>
    <row r="47" spans="1:20" ht="15">
      <c r="A47" s="111" t="s">
        <v>144</v>
      </c>
      <c r="B47" s="24" t="s">
        <v>169</v>
      </c>
      <c r="C47" s="213">
        <v>626100</v>
      </c>
      <c r="D47" s="213">
        <v>626100</v>
      </c>
      <c r="E47" s="229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  <c r="Q47" s="142">
        <v>608533</v>
      </c>
      <c r="R47" s="198">
        <f t="shared" si="6"/>
        <v>97.19421817601022</v>
      </c>
      <c r="S47" s="90"/>
      <c r="T47" s="83"/>
    </row>
    <row r="48" spans="1:20" ht="15">
      <c r="A48" s="111" t="s">
        <v>167</v>
      </c>
      <c r="B48" s="22" t="s">
        <v>170</v>
      </c>
      <c r="C48" s="232">
        <f>SUM(C37-C47-C42)</f>
        <v>2020598</v>
      </c>
      <c r="D48" s="232">
        <f>+C48</f>
        <v>2020598</v>
      </c>
      <c r="E48" s="233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5"/>
      <c r="Q48" s="236">
        <f>Q46-Q47</f>
        <v>2037390</v>
      </c>
      <c r="R48" s="198">
        <f t="shared" si="6"/>
        <v>100.8310411076325</v>
      </c>
      <c r="T48" s="82"/>
    </row>
    <row r="49" spans="1:18" ht="15">
      <c r="A49" s="107"/>
      <c r="B49" s="89" t="s">
        <v>174</v>
      </c>
      <c r="C49" s="237"/>
      <c r="D49" s="238"/>
      <c r="E49" s="239"/>
      <c r="F49" s="240"/>
      <c r="G49" s="241"/>
      <c r="H49" s="241"/>
      <c r="I49" s="241"/>
      <c r="J49" s="241"/>
      <c r="K49" s="240"/>
      <c r="L49" s="241"/>
      <c r="M49" s="239"/>
      <c r="N49" s="202"/>
      <c r="O49" s="230"/>
      <c r="P49" s="239"/>
      <c r="Q49" s="242"/>
      <c r="R49" s="204"/>
    </row>
    <row r="50" spans="1:18" ht="15">
      <c r="A50" s="107"/>
      <c r="B50" s="71" t="s">
        <v>81</v>
      </c>
      <c r="C50" s="245">
        <v>4583</v>
      </c>
      <c r="D50" s="200"/>
      <c r="E50" s="200"/>
      <c r="F50" s="201"/>
      <c r="G50" s="202"/>
      <c r="H50" s="202"/>
      <c r="I50" s="202"/>
      <c r="J50" s="202"/>
      <c r="K50" s="201"/>
      <c r="L50" s="202"/>
      <c r="M50" s="203"/>
      <c r="N50" s="202"/>
      <c r="O50" s="202"/>
      <c r="P50" s="203"/>
      <c r="Q50" s="243">
        <v>4581</v>
      </c>
      <c r="R50" s="220">
        <f>Q50/C50*100</f>
        <v>99.9563604625791</v>
      </c>
    </row>
    <row r="51" spans="1:18" ht="15">
      <c r="A51" s="107"/>
      <c r="B51" s="71" t="s">
        <v>134</v>
      </c>
      <c r="C51" s="245">
        <f>SUM(C37/C50/12)</f>
        <v>53.10377118335879</v>
      </c>
      <c r="D51" s="181"/>
      <c r="E51" s="244"/>
      <c r="F51" s="246"/>
      <c r="G51" s="247"/>
      <c r="H51" s="247"/>
      <c r="I51" s="247"/>
      <c r="J51" s="247"/>
      <c r="K51" s="246"/>
      <c r="L51" s="247"/>
      <c r="M51" s="248"/>
      <c r="N51" s="247"/>
      <c r="O51" s="247"/>
      <c r="P51" s="248"/>
      <c r="Q51" s="245">
        <f>SUM(Q37/Q50/12)</f>
        <v>50.369479007494725</v>
      </c>
      <c r="R51" s="220">
        <f>Q51/C51*100</f>
        <v>94.85103954967154</v>
      </c>
    </row>
    <row r="52" spans="1:18" ht="15">
      <c r="A52" s="113" t="s">
        <v>43</v>
      </c>
      <c r="B52" s="24" t="s">
        <v>60</v>
      </c>
      <c r="C52" s="142"/>
      <c r="D52" s="142"/>
      <c r="E52" s="143">
        <v>1928</v>
      </c>
      <c r="F52" s="144">
        <v>1258</v>
      </c>
      <c r="G52" s="145">
        <v>1298</v>
      </c>
      <c r="H52" s="145">
        <v>1223</v>
      </c>
      <c r="I52" s="145">
        <v>763</v>
      </c>
      <c r="J52" s="145">
        <v>2207</v>
      </c>
      <c r="K52" s="144">
        <f>+K53</f>
        <v>1316</v>
      </c>
      <c r="L52" s="145">
        <f>+L53</f>
        <v>1134</v>
      </c>
      <c r="M52" s="146">
        <f>+M53</f>
        <v>916</v>
      </c>
      <c r="N52" s="145">
        <v>1009</v>
      </c>
      <c r="O52" s="145">
        <f>+O53</f>
        <v>783</v>
      </c>
      <c r="P52" s="146">
        <v>1111</v>
      </c>
      <c r="Q52" s="142">
        <f>SUM(E52:P52)</f>
        <v>14946</v>
      </c>
      <c r="R52" s="142"/>
    </row>
    <row r="53" spans="1:18" ht="15">
      <c r="A53" s="107"/>
      <c r="B53" s="25" t="s">
        <v>27</v>
      </c>
      <c r="C53" s="142"/>
      <c r="D53" s="142"/>
      <c r="E53" s="138">
        <v>1928</v>
      </c>
      <c r="F53" s="139">
        <v>1258</v>
      </c>
      <c r="G53" s="140">
        <v>1298</v>
      </c>
      <c r="H53" s="140">
        <v>1223</v>
      </c>
      <c r="I53" s="140">
        <v>763</v>
      </c>
      <c r="J53" s="140">
        <v>2207</v>
      </c>
      <c r="K53" s="139">
        <v>1316</v>
      </c>
      <c r="L53" s="140">
        <v>1134</v>
      </c>
      <c r="M53" s="141">
        <v>916</v>
      </c>
      <c r="N53" s="140">
        <v>1009</v>
      </c>
      <c r="O53" s="140">
        <v>783</v>
      </c>
      <c r="P53" s="141">
        <v>1111</v>
      </c>
      <c r="Q53" s="137"/>
      <c r="R53" s="137"/>
    </row>
    <row r="54" spans="1:18" ht="15">
      <c r="A54" s="107"/>
      <c r="B54" s="25" t="s">
        <v>28</v>
      </c>
      <c r="C54" s="142"/>
      <c r="D54" s="142"/>
      <c r="E54" s="138"/>
      <c r="F54" s="139"/>
      <c r="G54" s="140"/>
      <c r="H54" s="140"/>
      <c r="I54" s="140"/>
      <c r="J54" s="140"/>
      <c r="K54" s="139"/>
      <c r="L54" s="140"/>
      <c r="M54" s="141"/>
      <c r="N54" s="140"/>
      <c r="O54" s="140"/>
      <c r="P54" s="141"/>
      <c r="Q54" s="137">
        <f>SUM(E54:P54)</f>
        <v>0</v>
      </c>
      <c r="R54" s="137"/>
    </row>
    <row r="55" spans="1:18" ht="15.75" thickBot="1">
      <c r="A55" s="114" t="s">
        <v>44</v>
      </c>
      <c r="B55" s="26" t="s">
        <v>59</v>
      </c>
      <c r="C55" s="249">
        <v>15846169</v>
      </c>
      <c r="D55" s="249">
        <f>+C55</f>
        <v>15846169</v>
      </c>
      <c r="E55" s="250">
        <v>1189756</v>
      </c>
      <c r="F55" s="251">
        <v>1237124</v>
      </c>
      <c r="G55" s="252">
        <v>1233315</v>
      </c>
      <c r="H55" s="252">
        <v>1250528</v>
      </c>
      <c r="I55" s="252">
        <v>1240228</v>
      </c>
      <c r="J55" s="252">
        <v>1238104</v>
      </c>
      <c r="K55" s="251">
        <v>1248951</v>
      </c>
      <c r="L55" s="252">
        <v>1346738</v>
      </c>
      <c r="M55" s="253">
        <v>1423495</v>
      </c>
      <c r="N55" s="252">
        <v>1385258</v>
      </c>
      <c r="O55" s="252">
        <v>1402025</v>
      </c>
      <c r="P55" s="253">
        <v>1086646</v>
      </c>
      <c r="Q55" s="249">
        <f>SUM(E55:P55)</f>
        <v>15282168</v>
      </c>
      <c r="R55" s="254">
        <f>Q55/D55*100</f>
        <v>96.44077379207555</v>
      </c>
    </row>
    <row r="56" spans="1:18" ht="16.5" thickBot="1" thickTop="1">
      <c r="A56" s="64"/>
      <c r="B56" s="86" t="s">
        <v>153</v>
      </c>
      <c r="C56" s="255"/>
      <c r="D56" s="255"/>
      <c r="E56" s="256"/>
      <c r="F56" s="257"/>
      <c r="G56" s="258"/>
      <c r="H56" s="258"/>
      <c r="I56" s="258"/>
      <c r="J56" s="258"/>
      <c r="K56" s="257"/>
      <c r="L56" s="258"/>
      <c r="M56" s="256"/>
      <c r="N56" s="257"/>
      <c r="O56" s="258"/>
      <c r="P56" s="256"/>
      <c r="Q56" s="255">
        <v>5218554</v>
      </c>
      <c r="R56" s="259"/>
    </row>
    <row r="57" spans="1:18" ht="15.75" thickTop="1">
      <c r="A57" s="115" t="s">
        <v>45</v>
      </c>
      <c r="B57" s="85" t="s">
        <v>154</v>
      </c>
      <c r="C57" s="260"/>
      <c r="D57" s="260"/>
      <c r="E57" s="405">
        <v>2759622</v>
      </c>
      <c r="F57" s="406">
        <v>2732986</v>
      </c>
      <c r="G57" s="404">
        <v>2757292</v>
      </c>
      <c r="H57" s="261">
        <v>2851638</v>
      </c>
      <c r="I57" s="261">
        <v>2873664</v>
      </c>
      <c r="J57" s="261">
        <v>2916248</v>
      </c>
      <c r="K57" s="261">
        <v>2918007</v>
      </c>
      <c r="L57" s="261">
        <v>2916254</v>
      </c>
      <c r="M57" s="262">
        <v>2917569</v>
      </c>
      <c r="N57" s="262">
        <v>2920294</v>
      </c>
      <c r="O57" s="261">
        <v>2925640</v>
      </c>
      <c r="P57" s="263">
        <v>4978230</v>
      </c>
      <c r="Q57" s="232">
        <v>3898554</v>
      </c>
      <c r="R57" s="260"/>
    </row>
    <row r="58" spans="1:18" ht="15">
      <c r="A58" s="116"/>
      <c r="B58" s="55" t="s">
        <v>155</v>
      </c>
      <c r="C58" s="147"/>
      <c r="D58" s="147"/>
      <c r="E58" s="148"/>
      <c r="F58" s="150"/>
      <c r="G58" s="149"/>
      <c r="H58" s="149"/>
      <c r="I58" s="149"/>
      <c r="J58" s="149"/>
      <c r="K58" s="149"/>
      <c r="L58" s="149"/>
      <c r="M58" s="150"/>
      <c r="N58" s="150"/>
      <c r="O58" s="149"/>
      <c r="P58" s="151"/>
      <c r="Q58" s="147">
        <v>388517</v>
      </c>
      <c r="R58" s="147"/>
    </row>
    <row r="59" spans="1:18" ht="15">
      <c r="A59" s="116"/>
      <c r="B59" s="66" t="s">
        <v>171</v>
      </c>
      <c r="C59" s="147"/>
      <c r="D59" s="147"/>
      <c r="E59" s="148"/>
      <c r="F59" s="150"/>
      <c r="G59" s="149"/>
      <c r="H59" s="149"/>
      <c r="I59" s="149"/>
      <c r="J59" s="149"/>
      <c r="K59" s="149"/>
      <c r="L59" s="149"/>
      <c r="M59" s="150"/>
      <c r="N59" s="150"/>
      <c r="O59" s="149"/>
      <c r="P59" s="151"/>
      <c r="Q59" s="147">
        <v>911.2</v>
      </c>
      <c r="R59" s="147"/>
    </row>
    <row r="60" spans="1:18" ht="15.75" thickBot="1">
      <c r="A60" s="107"/>
      <c r="B60" s="66" t="s">
        <v>88</v>
      </c>
      <c r="C60" s="147"/>
      <c r="D60" s="147"/>
      <c r="E60" s="148">
        <v>2327780</v>
      </c>
      <c r="F60" s="150">
        <v>2335990</v>
      </c>
      <c r="G60" s="149"/>
      <c r="H60" s="149">
        <v>2457398</v>
      </c>
      <c r="I60" s="149">
        <v>2479751</v>
      </c>
      <c r="J60" s="264">
        <v>2521007</v>
      </c>
      <c r="K60" s="264">
        <v>2523734</v>
      </c>
      <c r="L60" s="264">
        <v>2524044</v>
      </c>
      <c r="M60" s="265">
        <v>2525434</v>
      </c>
      <c r="N60" s="265">
        <v>2527637</v>
      </c>
      <c r="O60" s="264">
        <v>2534398</v>
      </c>
      <c r="P60" s="151">
        <v>2598807</v>
      </c>
      <c r="Q60" s="266">
        <v>2598807</v>
      </c>
      <c r="R60" s="147"/>
    </row>
    <row r="61" spans="1:18" ht="16.5" thickBot="1" thickTop="1">
      <c r="A61" s="117"/>
      <c r="B61" s="67" t="s">
        <v>63</v>
      </c>
      <c r="C61" s="267"/>
      <c r="D61" s="267"/>
      <c r="E61" s="268"/>
      <c r="F61" s="269"/>
      <c r="G61" s="270"/>
      <c r="H61" s="270"/>
      <c r="I61" s="270"/>
      <c r="J61" s="270"/>
      <c r="K61" s="270"/>
      <c r="L61" s="270"/>
      <c r="M61" s="269"/>
      <c r="N61" s="270"/>
      <c r="O61" s="270"/>
      <c r="P61" s="271"/>
      <c r="Q61" s="267">
        <f>SUM('Priloha 2 list1 '!S10-Q24)</f>
        <v>5507315</v>
      </c>
      <c r="R61" s="267"/>
    </row>
    <row r="62" spans="1:18" ht="15.75" thickBot="1">
      <c r="A62" s="118" t="s">
        <v>2</v>
      </c>
      <c r="B62" s="119" t="s">
        <v>57</v>
      </c>
      <c r="C62" s="272">
        <v>4744375</v>
      </c>
      <c r="D62" s="272">
        <v>6210767</v>
      </c>
      <c r="E62" s="273"/>
      <c r="F62" s="274"/>
      <c r="G62" s="275"/>
      <c r="H62" s="275"/>
      <c r="I62" s="275"/>
      <c r="J62" s="275"/>
      <c r="K62" s="275"/>
      <c r="L62" s="275"/>
      <c r="M62" s="276"/>
      <c r="N62" s="277"/>
      <c r="O62" s="277"/>
      <c r="P62" s="278"/>
      <c r="Q62" s="279">
        <f>'Priloha 2 list1 '!S11-Q26</f>
        <v>5501855</v>
      </c>
      <c r="R62" s="280">
        <f>Q62/C62*100</f>
        <v>115.9658543011461</v>
      </c>
    </row>
    <row r="63" spans="1:18" ht="16.5" thickBot="1" thickTop="1">
      <c r="A63" s="120" t="s">
        <v>56</v>
      </c>
      <c r="B63" s="121" t="s">
        <v>58</v>
      </c>
      <c r="C63" s="281">
        <v>1317102</v>
      </c>
      <c r="D63" s="281">
        <v>1317102</v>
      </c>
      <c r="E63" s="282">
        <f>'Priloha 2 list1 '!G12-'Priloha 2 list2'!E26</f>
        <v>806516</v>
      </c>
      <c r="F63" s="282">
        <f>'Priloha 2 list1 '!H12-'Priloha 2 list2'!F26</f>
        <v>-525248</v>
      </c>
      <c r="G63" s="282">
        <f>'Priloha 2 list1 '!I12-'Priloha 2 list2'!G26</f>
        <v>-792526</v>
      </c>
      <c r="H63" s="282">
        <f>'Priloha 2 list1 '!J12-'Priloha 2 list2'!H26</f>
        <v>-113615</v>
      </c>
      <c r="I63" s="282">
        <f>'Priloha 2 list1 '!K12-'Priloha 2 list2'!I26</f>
        <v>9171</v>
      </c>
      <c r="J63" s="282">
        <f>'Priloha 2 list1 '!L12-'Priloha 2 list2'!J26</f>
        <v>500175</v>
      </c>
      <c r="K63" s="282">
        <f>'Priloha 2 list1 '!M12-'Priloha 2 list2'!K26</f>
        <v>295828</v>
      </c>
      <c r="L63" s="283">
        <f>'Priloha 2 list1 '!N12-L26</f>
        <v>-1283497</v>
      </c>
      <c r="M63" s="284">
        <f>'Priloha 2 list1 '!O12-M26</f>
        <v>927394</v>
      </c>
      <c r="N63" s="283">
        <f>'Priloha 2 list1 '!P12-N26</f>
        <v>-414606</v>
      </c>
      <c r="O63" s="283">
        <f>'Priloha 2 list1 '!Q12-O26</f>
        <v>450112</v>
      </c>
      <c r="P63" s="285">
        <f>SUM('Priloha 2 list1 '!R12-'Priloha 2 list2'!P26)</f>
        <v>706768</v>
      </c>
      <c r="Q63" s="142">
        <f>SUM(E63:P63)</f>
        <v>566472</v>
      </c>
      <c r="R63" s="286">
        <f>Q63/C63*100</f>
        <v>43.008969692552284</v>
      </c>
    </row>
    <row r="64" spans="1:18" s="46" customFormat="1" ht="12.75">
      <c r="A64" s="45" t="s">
        <v>177</v>
      </c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s="46" customFormat="1" ht="12.75">
      <c r="A65" s="47" t="s">
        <v>173</v>
      </c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s="46" customFormat="1" ht="12.75">
      <c r="A66" s="1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s="46" customFormat="1" ht="12.75">
      <c r="A67" s="1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Durisova</dc:creator>
  <cp:keywords/>
  <dc:description/>
  <cp:lastModifiedBy>Jana Mifkovičová</cp:lastModifiedBy>
  <cp:lastPrinted>2003-06-03T08:24:26Z</cp:lastPrinted>
  <dcterms:created xsi:type="dcterms:W3CDTF">1999-04-23T13:37:58Z</dcterms:created>
  <dcterms:modified xsi:type="dcterms:W3CDTF">2003-06-27T10:17:44Z</dcterms:modified>
  <cp:category/>
  <cp:version/>
  <cp:contentType/>
  <cp:contentStatus/>
</cp:coreProperties>
</file>