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activeTab="0"/>
  </bookViews>
  <sheets>
    <sheet name="od 2001" sheetId="1" r:id="rId1"/>
  </sheets>
  <definedNames/>
  <calcPr fullCalcOnLoad="1"/>
</workbook>
</file>

<file path=xl/sharedStrings.xml><?xml version="1.0" encoding="utf-8"?>
<sst xmlns="http://schemas.openxmlformats.org/spreadsheetml/2006/main" count="422" uniqueCount="89">
  <si>
    <t>JEMO ASRTP</t>
  </si>
  <si>
    <t>El. Nováky - odsírenie</t>
  </si>
  <si>
    <t>JEMO - Sociéte Gen. Paris</t>
  </si>
  <si>
    <t>Slovenské elektrárne, a.s.</t>
  </si>
  <si>
    <t>JEMO - Kom. Banka Praha</t>
  </si>
  <si>
    <t>JEMO - Čes. spor. a.s. Praha</t>
  </si>
  <si>
    <t>JEMO - VÚB + SLSP dev.úver</t>
  </si>
  <si>
    <t>JEMO - VÚB + SLSP</t>
  </si>
  <si>
    <t>Spolu</t>
  </si>
  <si>
    <t>Vodohospodárska výstavba,š.p.</t>
  </si>
  <si>
    <t>Bankers Trust - fiduc. úver</t>
  </si>
  <si>
    <t>Bankers Trust</t>
  </si>
  <si>
    <t>EBRD</t>
  </si>
  <si>
    <t xml:space="preserve">EIB </t>
  </si>
  <si>
    <t>WB</t>
  </si>
  <si>
    <t xml:space="preserve">CCF II. </t>
  </si>
  <si>
    <t>EIB 1B</t>
  </si>
  <si>
    <t>CCF Paris</t>
  </si>
  <si>
    <t>Štát. fond cest. hospodárstva</t>
  </si>
  <si>
    <t>KfW</t>
  </si>
  <si>
    <t>KfW I.</t>
  </si>
  <si>
    <t>KfW II.</t>
  </si>
  <si>
    <t>JEMO - KfW Frankfurt n/M</t>
  </si>
  <si>
    <t>Credit Suisse F. Boston</t>
  </si>
  <si>
    <t>Železnice SR</t>
  </si>
  <si>
    <t>FUJI Bank</t>
  </si>
  <si>
    <t>SLSP, a.s.</t>
  </si>
  <si>
    <t>VÚB, a.s.</t>
  </si>
  <si>
    <t>EIB</t>
  </si>
  <si>
    <t>CALEX, a.s. Zlaté Moravce</t>
  </si>
  <si>
    <t>kompres</t>
  </si>
  <si>
    <t>Názov organizácie a projektu</t>
  </si>
  <si>
    <t xml:space="preserve">Dátum </t>
  </si>
  <si>
    <t>prevzatia</t>
  </si>
  <si>
    <t>št. záruky</t>
  </si>
  <si>
    <t>Mena</t>
  </si>
  <si>
    <t>DEM</t>
  </si>
  <si>
    <t>ATS</t>
  </si>
  <si>
    <t>USD</t>
  </si>
  <si>
    <t>Sk</t>
  </si>
  <si>
    <t>EUR</t>
  </si>
  <si>
    <t xml:space="preserve">DEM </t>
  </si>
  <si>
    <t>CHF</t>
  </si>
  <si>
    <t>JPY</t>
  </si>
  <si>
    <t>FRF</t>
  </si>
  <si>
    <t>CZK</t>
  </si>
  <si>
    <t>v Sk</t>
  </si>
  <si>
    <t>istina</t>
  </si>
  <si>
    <t>úrok</t>
  </si>
  <si>
    <t>Chemicelulóza, š.p. Žilina</t>
  </si>
  <si>
    <t>I.</t>
  </si>
  <si>
    <t>II.</t>
  </si>
  <si>
    <t>Pozagas, a.s. Malacky</t>
  </si>
  <si>
    <t>Láb IV</t>
  </si>
  <si>
    <t>Riadit. diaľnic, š.p.</t>
  </si>
  <si>
    <t>Riadenie letovej prevádzky</t>
  </si>
  <si>
    <t>Slovenský plyn. priemysel, š.p.</t>
  </si>
  <si>
    <t>NIB</t>
  </si>
  <si>
    <t>Solivary, a.s. Prešov</t>
  </si>
  <si>
    <t>LS Zbudza</t>
  </si>
  <si>
    <t>Slovenská. zár. a rozvojová banka</t>
  </si>
  <si>
    <t>Imuna, š.p. Šarišské Michaľany</t>
  </si>
  <si>
    <t>Paroplyn. cyklus, a.s. Bratislava</t>
  </si>
  <si>
    <t>Splácanie úverov v rokoch (v Sk)</t>
  </si>
  <si>
    <t xml:space="preserve">v Sk </t>
  </si>
  <si>
    <t>Zostatok záväzku zo štátnej záruky</t>
  </si>
  <si>
    <t>SPOLU</t>
  </si>
  <si>
    <t>The Chase Manhattan Bank</t>
  </si>
  <si>
    <t>Poľnobanka, a.s. Bratislava</t>
  </si>
  <si>
    <t>Slovenské telekomunikácie, a.s.</t>
  </si>
  <si>
    <t>Chemicelulóza, š.p. Žilina - II.</t>
  </si>
  <si>
    <t>neuhradené splátky z minulých rokov</t>
  </si>
  <si>
    <t>ZŤS Martin - lic.Lombardini</t>
  </si>
  <si>
    <t>Nový Calex Zlaté Moravce, as.</t>
  </si>
  <si>
    <t>Tatra banka, a.s.</t>
  </si>
  <si>
    <t>Výstavba diaľnic, Credit Suisse F.Bos.</t>
  </si>
  <si>
    <t>Citibank Slovakia, Depfa</t>
  </si>
  <si>
    <t>J.P.Morgan</t>
  </si>
  <si>
    <t>Prísľub MF SR z 12.3.1997</t>
  </si>
  <si>
    <t>DMD FIN, a.s.</t>
  </si>
  <si>
    <t>Slov. vodohosp. podnik, š.p.</t>
  </si>
  <si>
    <t>Depfa a Citibank</t>
  </si>
  <si>
    <t>Commerzbank</t>
  </si>
  <si>
    <t>ZŤS Dubnica nad Váhom Plus, a.s.</t>
  </si>
  <si>
    <t>kurz k 29.12.2000</t>
  </si>
  <si>
    <t>Slovenské lodenice Komárno, a.s.,Bl</t>
  </si>
  <si>
    <t>EXIMBANKA</t>
  </si>
  <si>
    <t>do termínu splatnosti</t>
  </si>
  <si>
    <t>splátky po r. 2010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</si>
</sst>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mmm\ yyyy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0" borderId="2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9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0" fontId="1" fillId="0" borderId="28" xfId="0" applyFont="1" applyBorder="1" applyAlignment="1">
      <alignment/>
    </xf>
    <xf numFmtId="1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9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2" fillId="0" borderId="25" xfId="0" applyFont="1" applyBorder="1" applyAlignment="1">
      <alignment/>
    </xf>
    <xf numFmtId="4" fontId="0" fillId="0" borderId="0" xfId="0" applyNumberFormat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34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20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2" fillId="0" borderId="26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21" xfId="0" applyFont="1" applyBorder="1" applyAlignment="1">
      <alignment/>
    </xf>
    <xf numFmtId="4" fontId="0" fillId="0" borderId="2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5" fillId="0" borderId="4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2" fillId="0" borderId="11" xfId="0" applyNumberFormat="1" applyFont="1" applyBorder="1" applyAlignment="1">
      <alignment horizontal="left" indent="2"/>
    </xf>
    <xf numFmtId="14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6" xfId="0" applyBorder="1" applyAlignment="1">
      <alignment/>
    </xf>
    <xf numFmtId="14" fontId="0" fillId="0" borderId="8" xfId="0" applyNumberFormat="1" applyBorder="1" applyAlignment="1">
      <alignment/>
    </xf>
    <xf numFmtId="0" fontId="1" fillId="0" borderId="34" xfId="0" applyFon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41"/>
  <sheetViews>
    <sheetView tabSelected="1" view="pageBreakPreview" zoomScaleNormal="75" zoomScaleSheetLayoutView="100" workbookViewId="0" topLeftCell="A101">
      <selection activeCell="A101" sqref="A101"/>
    </sheetView>
  </sheetViews>
  <sheetFormatPr defaultColWidth="9.00390625" defaultRowHeight="12.75"/>
  <cols>
    <col min="1" max="1" width="34.375" style="0" customWidth="1"/>
    <col min="2" max="2" width="12.75390625" style="0" customWidth="1"/>
    <col min="3" max="3" width="5.875" style="0" customWidth="1"/>
    <col min="4" max="4" width="20.00390625" style="0" customWidth="1"/>
    <col min="5" max="5" width="20.75390625" style="0" customWidth="1"/>
    <col min="6" max="6" width="6.00390625" style="0" customWidth="1"/>
    <col min="7" max="10" width="18.25390625" style="0" customWidth="1"/>
    <col min="11" max="11" width="22.75390625" style="0" customWidth="1"/>
    <col min="12" max="12" width="18.25390625" style="0" customWidth="1"/>
    <col min="13" max="13" width="20.00390625" style="0" customWidth="1"/>
    <col min="14" max="16" width="18.25390625" style="0" customWidth="1"/>
    <col min="17" max="17" width="19.625" style="0" customWidth="1"/>
    <col min="22" max="22" width="24.125" style="0" customWidth="1"/>
  </cols>
  <sheetData>
    <row r="2" ht="13.5" thickBot="1"/>
    <row r="3" spans="1:17" s="1" customFormat="1" ht="12.75">
      <c r="A3" s="18" t="s">
        <v>31</v>
      </c>
      <c r="B3" s="19" t="s">
        <v>32</v>
      </c>
      <c r="C3" s="20" t="s">
        <v>35</v>
      </c>
      <c r="D3" s="19" t="s">
        <v>65</v>
      </c>
      <c r="E3" s="21"/>
      <c r="F3" s="20"/>
      <c r="G3" s="22"/>
      <c r="H3" s="22"/>
      <c r="I3" s="22"/>
      <c r="J3" s="22" t="s">
        <v>63</v>
      </c>
      <c r="K3" s="22"/>
      <c r="L3" s="22"/>
      <c r="M3" s="22"/>
      <c r="N3" s="22"/>
      <c r="O3" s="22"/>
      <c r="P3" s="22"/>
      <c r="Q3" s="22"/>
    </row>
    <row r="4" spans="1:17" s="1" customFormat="1" ht="12.75">
      <c r="A4" s="23"/>
      <c r="B4" s="3" t="s">
        <v>33</v>
      </c>
      <c r="C4" s="7"/>
      <c r="D4" s="9" t="s">
        <v>64</v>
      </c>
      <c r="E4" s="10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67" t="s">
        <v>88</v>
      </c>
    </row>
    <row r="5" spans="1:17" ht="13.5" thickBot="1">
      <c r="A5" s="24"/>
      <c r="B5" s="114" t="s">
        <v>34</v>
      </c>
      <c r="C5" s="13"/>
      <c r="D5" s="14" t="s">
        <v>47</v>
      </c>
      <c r="E5" s="14" t="s">
        <v>48</v>
      </c>
      <c r="F5" s="13"/>
      <c r="G5" s="97">
        <v>2001</v>
      </c>
      <c r="H5" s="97">
        <v>2002</v>
      </c>
      <c r="I5" s="97">
        <v>2003</v>
      </c>
      <c r="J5" s="97">
        <v>2004</v>
      </c>
      <c r="K5" s="97">
        <v>2005</v>
      </c>
      <c r="L5" s="97">
        <v>2006</v>
      </c>
      <c r="M5" s="97">
        <v>2007</v>
      </c>
      <c r="N5" s="97">
        <v>2008</v>
      </c>
      <c r="O5" s="97">
        <v>2009</v>
      </c>
      <c r="P5" s="97">
        <v>2010</v>
      </c>
      <c r="Q5" s="97" t="s">
        <v>87</v>
      </c>
    </row>
    <row r="6" spans="1:17" ht="13.5" thickTop="1">
      <c r="A6" s="25" t="s">
        <v>3</v>
      </c>
      <c r="B6" s="8"/>
      <c r="C6" s="8"/>
      <c r="D6" s="8"/>
      <c r="E6" s="8"/>
      <c r="F6" s="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6" t="s">
        <v>0</v>
      </c>
      <c r="B7" s="6">
        <v>33392</v>
      </c>
      <c r="C7" s="5" t="s">
        <v>36</v>
      </c>
      <c r="D7" s="39">
        <f>SUM(G7:G7)</f>
        <v>60866750.998900004</v>
      </c>
      <c r="E7" s="5"/>
      <c r="F7" s="5" t="s">
        <v>47</v>
      </c>
      <c r="G7" s="39">
        <f>2705790.22*B226</f>
        <v>60866750.998900004</v>
      </c>
      <c r="H7" s="5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26"/>
      <c r="B8" s="5"/>
      <c r="C8" s="5"/>
      <c r="D8" s="5"/>
      <c r="E8" s="5"/>
      <c r="F8" s="5" t="s">
        <v>48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26" t="s">
        <v>1</v>
      </c>
      <c r="B9" s="6">
        <v>33472</v>
      </c>
      <c r="C9" s="5" t="s">
        <v>37</v>
      </c>
      <c r="D9" s="39">
        <f>SUM(G9:I9)</f>
        <v>225679292.72599998</v>
      </c>
      <c r="E9" s="5"/>
      <c r="F9" s="5" t="s">
        <v>47</v>
      </c>
      <c r="G9" s="39">
        <f>28236383.2*B230</f>
        <v>90271717.0904</v>
      </c>
      <c r="H9" s="39">
        <f>28236383.2*B230</f>
        <v>90271717.0904</v>
      </c>
      <c r="I9" s="39">
        <f>14118191.6*B230</f>
        <v>45135858.5452</v>
      </c>
      <c r="J9" s="5"/>
      <c r="K9" s="39"/>
      <c r="L9" s="39"/>
      <c r="M9" s="39"/>
      <c r="N9" s="39"/>
      <c r="O9" s="39"/>
      <c r="P9" s="39"/>
      <c r="Q9" s="39"/>
    </row>
    <row r="10" spans="1:17" ht="12.75">
      <c r="A10" s="26"/>
      <c r="B10" s="5"/>
      <c r="C10" s="5"/>
      <c r="D10" s="5"/>
      <c r="E10" s="39">
        <f>SUM(G10:I10)</f>
        <v>31960200.108020004</v>
      </c>
      <c r="F10" s="5" t="s">
        <v>48</v>
      </c>
      <c r="G10" s="39">
        <f>6404011.74*B230</f>
        <v>20473625.532780003</v>
      </c>
      <c r="H10" s="39">
        <f>3197613.55*B230</f>
        <v>10222770.51935</v>
      </c>
      <c r="I10" s="39">
        <f>395309.37*B230</f>
        <v>1263804.05589</v>
      </c>
      <c r="J10" s="5"/>
      <c r="K10" s="39"/>
      <c r="L10" s="39"/>
      <c r="M10" s="39"/>
      <c r="N10" s="39"/>
      <c r="O10" s="39"/>
      <c r="P10" s="39"/>
      <c r="Q10" s="39"/>
    </row>
    <row r="11" spans="1:17" ht="12.75">
      <c r="A11" s="26" t="s">
        <v>22</v>
      </c>
      <c r="B11" s="6">
        <v>35271</v>
      </c>
      <c r="C11" s="5" t="s">
        <v>36</v>
      </c>
      <c r="D11" s="39">
        <f>SUM(G11:O11)</f>
        <v>2040052271.785</v>
      </c>
      <c r="E11" s="5"/>
      <c r="F11" s="5" t="s">
        <v>47</v>
      </c>
      <c r="G11" s="39">
        <f>10965002*B226</f>
        <v>246657719.99</v>
      </c>
      <c r="H11" s="39">
        <f>10965002*B226</f>
        <v>246657719.99</v>
      </c>
      <c r="I11" s="39">
        <f>10965002*B226</f>
        <v>246657719.99</v>
      </c>
      <c r="J11" s="39">
        <f>10965002*B226</f>
        <v>246657719.99</v>
      </c>
      <c r="K11" s="39">
        <f>10965002*B226</f>
        <v>246657719.99</v>
      </c>
      <c r="L11" s="39">
        <f>10965002*B226</f>
        <v>246657719.99</v>
      </c>
      <c r="M11" s="39">
        <f>10965002*B226</f>
        <v>246657719.99</v>
      </c>
      <c r="N11" s="39">
        <f>10965002*B226</f>
        <v>246657719.99</v>
      </c>
      <c r="O11" s="39">
        <f>2969127*B226</f>
        <v>66790511.865</v>
      </c>
      <c r="P11" s="5"/>
      <c r="Q11" s="39"/>
    </row>
    <row r="12" spans="1:17" ht="12.75">
      <c r="A12" s="26"/>
      <c r="B12" s="5"/>
      <c r="C12" s="5"/>
      <c r="D12" s="5"/>
      <c r="E12" s="39">
        <f>SUM(G12:O12)</f>
        <v>505017542.3348</v>
      </c>
      <c r="F12" s="5" t="s">
        <v>48</v>
      </c>
      <c r="G12" s="39">
        <f>4961374.32*B226</f>
        <v>111606115.32840002</v>
      </c>
      <c r="H12" s="39">
        <f>4342472.99*B226</f>
        <v>97683929.91005</v>
      </c>
      <c r="I12" s="39">
        <f>3723571.68*B226</f>
        <v>83761744.94160001</v>
      </c>
      <c r="J12" s="39">
        <f>3109660.14*B226</f>
        <v>69951804.84930001</v>
      </c>
      <c r="K12" s="39">
        <f>2485769.03*B226</f>
        <v>55917374.329849996</v>
      </c>
      <c r="L12" s="39">
        <f>1866867.7*B226</f>
        <v>41995188.9115</v>
      </c>
      <c r="M12" s="39">
        <f>1247966.38*B226</f>
        <v>28073003.7181</v>
      </c>
      <c r="N12" s="39">
        <f>630425.91*B226</f>
        <v>14181430.84545</v>
      </c>
      <c r="O12" s="39">
        <f>82104.89*B226</f>
        <v>1846949.50055</v>
      </c>
      <c r="P12" s="5"/>
      <c r="Q12" s="39"/>
    </row>
    <row r="13" spans="1:17" ht="12.75">
      <c r="A13" s="26" t="s">
        <v>2</v>
      </c>
      <c r="B13" s="6">
        <v>35271</v>
      </c>
      <c r="C13" s="5" t="s">
        <v>36</v>
      </c>
      <c r="D13" s="39">
        <f>SUM(G13:O13)</f>
        <v>1185132201.9504</v>
      </c>
      <c r="E13" s="5"/>
      <c r="F13" s="5" t="s">
        <v>47</v>
      </c>
      <c r="G13" s="39">
        <f>6400000*B226</f>
        <v>143968000</v>
      </c>
      <c r="H13" s="39">
        <f>6400000*B226</f>
        <v>143968000</v>
      </c>
      <c r="I13" s="39">
        <f>6400000*B226</f>
        <v>143968000</v>
      </c>
      <c r="J13" s="39">
        <f>6400000*B226</f>
        <v>143968000</v>
      </c>
      <c r="K13" s="39">
        <f>6400000*B226</f>
        <v>143968000</v>
      </c>
      <c r="L13" s="39">
        <f>6400000*B226</f>
        <v>143968000</v>
      </c>
      <c r="M13" s="39">
        <f>6400000*B226</f>
        <v>143968000</v>
      </c>
      <c r="N13" s="39">
        <f>6400000*B226</f>
        <v>143968000</v>
      </c>
      <c r="O13" s="39">
        <f>1484249.92*B226</f>
        <v>33388201.9504</v>
      </c>
      <c r="P13" s="5"/>
      <c r="Q13" s="39"/>
    </row>
    <row r="14" spans="1:17" ht="12.75">
      <c r="A14" s="26"/>
      <c r="B14" s="5"/>
      <c r="C14" s="5"/>
      <c r="D14" s="5"/>
      <c r="E14" s="39">
        <f>SUM(G14:O14)</f>
        <v>183777765.46910003</v>
      </c>
      <c r="F14" s="5" t="s">
        <v>48</v>
      </c>
      <c r="G14" s="39">
        <f>1810146.46*B226</f>
        <v>40719244.6177</v>
      </c>
      <c r="H14" s="39">
        <f>1585370.68*B226</f>
        <v>35662913.4466</v>
      </c>
      <c r="I14" s="39">
        <f>1358259.57*B226</f>
        <v>30554049.02715</v>
      </c>
      <c r="J14" s="39">
        <f>1134403.87*B226</f>
        <v>25518415.055650003</v>
      </c>
      <c r="K14" s="39">
        <f>906372.68*B226</f>
        <v>20388853.436600003</v>
      </c>
      <c r="L14" s="39">
        <f>676259*B226</f>
        <v>15212446.205</v>
      </c>
      <c r="M14" s="39">
        <f>449314.7*B226</f>
        <v>10107334.1765</v>
      </c>
      <c r="N14" s="39">
        <f>223470.54*B226</f>
        <v>5026969.797300001</v>
      </c>
      <c r="O14" s="39">
        <f>26118.68*B226</f>
        <v>587539.7066</v>
      </c>
      <c r="P14" s="5"/>
      <c r="Q14" s="39"/>
    </row>
    <row r="15" spans="1:17" ht="12.75">
      <c r="A15" s="26" t="s">
        <v>4</v>
      </c>
      <c r="B15" s="6">
        <v>35237</v>
      </c>
      <c r="C15" s="5" t="s">
        <v>38</v>
      </c>
      <c r="D15" s="39">
        <f>SUM(G15:N15)</f>
        <v>7108350000</v>
      </c>
      <c r="E15" s="5"/>
      <c r="F15" s="5" t="s">
        <v>47</v>
      </c>
      <c r="G15" s="39">
        <f>20000000*B227</f>
        <v>947780000</v>
      </c>
      <c r="H15" s="39">
        <f>20000000*B227</f>
        <v>947780000</v>
      </c>
      <c r="I15" s="39">
        <f>20000000*B227</f>
        <v>947780000</v>
      </c>
      <c r="J15" s="39">
        <f>20000000*B227</f>
        <v>947780000</v>
      </c>
      <c r="K15" s="39">
        <f>20000000*B227</f>
        <v>947780000</v>
      </c>
      <c r="L15" s="39">
        <f>20000000*B227</f>
        <v>947780000</v>
      </c>
      <c r="M15" s="39">
        <f>20000000*B227</f>
        <v>947780000</v>
      </c>
      <c r="N15" s="39">
        <f>10000000*B227</f>
        <v>473890000</v>
      </c>
      <c r="O15" s="5"/>
      <c r="P15" s="39"/>
      <c r="Q15" s="39"/>
    </row>
    <row r="16" spans="1:17" ht="12.75">
      <c r="A16" s="26"/>
      <c r="B16" s="5"/>
      <c r="C16" s="5"/>
      <c r="D16" s="5"/>
      <c r="E16" s="39">
        <f>SUM(G16:N16)</f>
        <v>1876235818.7835798</v>
      </c>
      <c r="F16" s="5" t="s">
        <v>48</v>
      </c>
      <c r="G16" s="39">
        <f>9553194.44*B227</f>
        <v>452716331.31716</v>
      </c>
      <c r="H16" s="39">
        <f>8235138.89*B227</f>
        <v>390254996.85821</v>
      </c>
      <c r="I16" s="39">
        <f>6917083.33*B227</f>
        <v>327793661.92537004</v>
      </c>
      <c r="J16" s="39">
        <f>5615277.78*B227</f>
        <v>266102398.71642002</v>
      </c>
      <c r="K16" s="39">
        <f>4280972.22*B227</f>
        <v>202870992.53358</v>
      </c>
      <c r="L16" s="39">
        <f>2962916.67*B227</f>
        <v>140409658.07463</v>
      </c>
      <c r="M16" s="39">
        <f>1644861.11*B227</f>
        <v>77948323.14179</v>
      </c>
      <c r="N16" s="39">
        <f>382777.78*B227</f>
        <v>18139456.216420002</v>
      </c>
      <c r="O16" s="5"/>
      <c r="P16" s="39"/>
      <c r="Q16" s="39"/>
    </row>
    <row r="17" spans="1:17" ht="12.75">
      <c r="A17" s="26" t="s">
        <v>5</v>
      </c>
      <c r="B17" s="6">
        <v>35242</v>
      </c>
      <c r="C17" s="5" t="s">
        <v>36</v>
      </c>
      <c r="D17" s="39">
        <f>SUM(G17:N17)</f>
        <v>1799600000</v>
      </c>
      <c r="E17" s="5"/>
      <c r="F17" s="5" t="s">
        <v>47</v>
      </c>
      <c r="G17" s="39">
        <f>10000000*B226</f>
        <v>224950000</v>
      </c>
      <c r="H17" s="39">
        <f>10000000*B226</f>
        <v>224950000</v>
      </c>
      <c r="I17" s="39">
        <f>10000000*B226</f>
        <v>224950000</v>
      </c>
      <c r="J17" s="39">
        <f>10000000*B226</f>
        <v>224950000</v>
      </c>
      <c r="K17" s="39">
        <f>10000000*B226</f>
        <v>224950000</v>
      </c>
      <c r="L17" s="39">
        <f>10000000*B226</f>
        <v>224950000</v>
      </c>
      <c r="M17" s="39">
        <f>10000000*B226</f>
        <v>224950000</v>
      </c>
      <c r="N17" s="39">
        <f>10000000*B226</f>
        <v>224950000</v>
      </c>
      <c r="O17" s="5"/>
      <c r="P17" s="39"/>
      <c r="Q17" s="39"/>
    </row>
    <row r="18" spans="1:17" ht="12.75">
      <c r="A18" s="26"/>
      <c r="B18" s="5"/>
      <c r="C18" s="5"/>
      <c r="D18" s="5"/>
      <c r="E18" s="39">
        <f>SUM(G18:N18)</f>
        <v>337620893.88335</v>
      </c>
      <c r="F18" s="5" t="s">
        <v>48</v>
      </c>
      <c r="G18" s="39">
        <f>3418979.17*B226</f>
        <v>76909936.42915</v>
      </c>
      <c r="H18" s="39">
        <f>2977937.5*B226</f>
        <v>66988704.0625</v>
      </c>
      <c r="I18" s="39">
        <f>2536895.83*B226</f>
        <v>57067471.69585001</v>
      </c>
      <c r="J18" s="39">
        <f>2101291.67*B226</f>
        <v>47268556.11665</v>
      </c>
      <c r="K18" s="39">
        <f>1654812.5*B226</f>
        <v>37225007.1875</v>
      </c>
      <c r="L18" s="39">
        <f>1213770.83*B226</f>
        <v>27303774.820850004</v>
      </c>
      <c r="M18" s="39">
        <f>772729.17*B226</f>
        <v>17382542.67915</v>
      </c>
      <c r="N18" s="39">
        <f>332291.66*B226</f>
        <v>7474900.8917</v>
      </c>
      <c r="O18" s="5"/>
      <c r="P18" s="39"/>
      <c r="Q18" s="39"/>
    </row>
    <row r="19" spans="1:17" ht="12.75">
      <c r="A19" s="26" t="s">
        <v>6</v>
      </c>
      <c r="B19" s="6">
        <v>35268</v>
      </c>
      <c r="C19" s="5" t="s">
        <v>38</v>
      </c>
      <c r="D19" s="39">
        <f>SUM(G19:M19)</f>
        <v>3939210625</v>
      </c>
      <c r="E19" s="5"/>
      <c r="F19" s="5" t="s">
        <v>47</v>
      </c>
      <c r="G19" s="39">
        <f>11875000*B227</f>
        <v>562744375</v>
      </c>
      <c r="H19" s="39">
        <f>11875000*B227</f>
        <v>562744375</v>
      </c>
      <c r="I19" s="39">
        <f>11875000*B227</f>
        <v>562744375</v>
      </c>
      <c r="J19" s="39">
        <f>11875000*B227</f>
        <v>562744375</v>
      </c>
      <c r="K19" s="39">
        <f>11875000*B227</f>
        <v>562744375</v>
      </c>
      <c r="L19" s="39">
        <f>11875000*B227</f>
        <v>562744375</v>
      </c>
      <c r="M19" s="39">
        <f>11875000*B227</f>
        <v>562744375</v>
      </c>
      <c r="N19" s="5"/>
      <c r="O19" s="39"/>
      <c r="P19" s="39"/>
      <c r="Q19" s="39"/>
    </row>
    <row r="20" spans="1:17" ht="12.75">
      <c r="A20" s="26"/>
      <c r="B20" s="5"/>
      <c r="C20" s="5"/>
      <c r="D20" s="5"/>
      <c r="E20" s="39">
        <f>SUM(G20:M20)</f>
        <v>978565572.91838</v>
      </c>
      <c r="F20" s="5" t="s">
        <v>48</v>
      </c>
      <c r="G20" s="39">
        <f>5477013.89*B227</f>
        <v>259550211.23321</v>
      </c>
      <c r="H20" s="39">
        <f>4634218.75*B227</f>
        <v>219610992.34375</v>
      </c>
      <c r="I20" s="39">
        <f>3791423.61*B227</f>
        <v>179671773.45429</v>
      </c>
      <c r="J20" s="39">
        <f>2957864.58*B227</f>
        <v>140170244.58162</v>
      </c>
      <c r="K20" s="39">
        <f>2105833.34*B227</f>
        <v>99793336.14926</v>
      </c>
      <c r="L20" s="39">
        <f>1263038.19*B227</f>
        <v>59854116.78591</v>
      </c>
      <c r="M20" s="39">
        <f>420243.06*B227</f>
        <v>19914898.37034</v>
      </c>
      <c r="N20" s="5"/>
      <c r="O20" s="39"/>
      <c r="P20" s="39"/>
      <c r="Q20" s="39"/>
    </row>
    <row r="21" spans="1:17" ht="12.75">
      <c r="A21" s="26" t="s">
        <v>7</v>
      </c>
      <c r="B21" s="6">
        <v>35268</v>
      </c>
      <c r="C21" s="5" t="s">
        <v>39</v>
      </c>
      <c r="D21" s="39">
        <f>SUM(G21:L21)</f>
        <v>5400000000</v>
      </c>
      <c r="E21" s="5"/>
      <c r="F21" s="5" t="s">
        <v>47</v>
      </c>
      <c r="G21" s="39">
        <f>900000000*B235</f>
        <v>900000000</v>
      </c>
      <c r="H21" s="39">
        <f>900000000*B235</f>
        <v>900000000</v>
      </c>
      <c r="I21" s="39">
        <f>900000000*B235</f>
        <v>900000000</v>
      </c>
      <c r="J21" s="39">
        <f>900000000*B235</f>
        <v>900000000</v>
      </c>
      <c r="K21" s="39">
        <f>900000000*B235</f>
        <v>900000000</v>
      </c>
      <c r="L21" s="39">
        <f>900000000*B235</f>
        <v>900000000</v>
      </c>
      <c r="M21" s="5"/>
      <c r="N21" s="39"/>
      <c r="O21" s="39"/>
      <c r="P21" s="39"/>
      <c r="Q21" s="39"/>
    </row>
    <row r="22" spans="1:17" ht="12.75">
      <c r="A22" s="26"/>
      <c r="B22" s="5"/>
      <c r="C22" s="5"/>
      <c r="D22" s="5"/>
      <c r="E22" s="39">
        <f>SUM(G22:L22)</f>
        <v>1719945000</v>
      </c>
      <c r="F22" s="5" t="s">
        <v>48</v>
      </c>
      <c r="G22" s="39">
        <f>539737500*B235</f>
        <v>539737500</v>
      </c>
      <c r="H22" s="39">
        <f>438450000*B235</f>
        <v>438450000</v>
      </c>
      <c r="I22" s="39">
        <f>337162500*B235</f>
        <v>337162500</v>
      </c>
      <c r="J22" s="39">
        <f>236707500*B235</f>
        <v>236707500</v>
      </c>
      <c r="K22" s="39">
        <f>134587500*B235</f>
        <v>134587500</v>
      </c>
      <c r="L22" s="39">
        <f>33300000*B235</f>
        <v>33300000</v>
      </c>
      <c r="M22" s="5"/>
      <c r="N22" s="39"/>
      <c r="O22" s="39"/>
      <c r="P22" s="39"/>
      <c r="Q22" s="39"/>
    </row>
    <row r="23" spans="1:17" ht="12.75">
      <c r="A23" s="26" t="s">
        <v>67</v>
      </c>
      <c r="B23" s="6">
        <v>36501</v>
      </c>
      <c r="C23" s="5" t="s">
        <v>38</v>
      </c>
      <c r="D23" s="39">
        <f>25000000*B227</f>
        <v>1184725000</v>
      </c>
      <c r="E23" s="39"/>
      <c r="F23" s="5" t="s">
        <v>47</v>
      </c>
      <c r="G23" s="39"/>
      <c r="H23" s="39">
        <f>25000000*B227</f>
        <v>1184725000</v>
      </c>
      <c r="I23" s="39"/>
      <c r="J23" s="39"/>
      <c r="K23" s="39"/>
      <c r="L23" s="39"/>
      <c r="M23" s="5"/>
      <c r="N23" s="39"/>
      <c r="O23" s="39"/>
      <c r="P23" s="39"/>
      <c r="Q23" s="39"/>
    </row>
    <row r="24" spans="1:17" ht="12.75">
      <c r="A24" s="26"/>
      <c r="B24" s="5"/>
      <c r="C24" s="5"/>
      <c r="D24" s="5"/>
      <c r="E24" s="39">
        <f>SUM(G24:H24)</f>
        <v>215383005</v>
      </c>
      <c r="F24" s="5" t="s">
        <v>48</v>
      </c>
      <c r="G24" s="39">
        <f>2272500*B227</f>
        <v>107691502.5</v>
      </c>
      <c r="H24" s="39">
        <f>2272500*B227</f>
        <v>107691502.5</v>
      </c>
      <c r="I24" s="5"/>
      <c r="J24" s="39"/>
      <c r="K24" s="39"/>
      <c r="L24" s="39"/>
      <c r="M24" s="5"/>
      <c r="N24" s="39"/>
      <c r="O24" s="39"/>
      <c r="P24" s="39"/>
      <c r="Q24" s="39"/>
    </row>
    <row r="25" spans="1:17" ht="12.75">
      <c r="A25" s="55" t="s">
        <v>68</v>
      </c>
      <c r="B25" s="72">
        <v>36503</v>
      </c>
      <c r="C25" s="8" t="s">
        <v>39</v>
      </c>
      <c r="D25" s="38">
        <f>1500000000*B235</f>
        <v>1500000000</v>
      </c>
      <c r="E25" s="38"/>
      <c r="F25" s="8" t="s">
        <v>47</v>
      </c>
      <c r="G25" s="38"/>
      <c r="H25" s="5"/>
      <c r="I25" s="38">
        <v>1500000000</v>
      </c>
      <c r="J25" s="38"/>
      <c r="K25" s="38"/>
      <c r="L25" s="38"/>
      <c r="M25" s="8"/>
      <c r="N25" s="38"/>
      <c r="O25" s="38"/>
      <c r="P25" s="38"/>
      <c r="Q25" s="38"/>
    </row>
    <row r="26" spans="1:17" ht="12.75">
      <c r="A26" s="69"/>
      <c r="B26" s="70"/>
      <c r="C26" s="70"/>
      <c r="D26" s="70"/>
      <c r="E26" s="71">
        <f>SUM(G26:I26)</f>
        <v>613080000</v>
      </c>
      <c r="F26" s="70" t="s">
        <v>48</v>
      </c>
      <c r="G26" s="71">
        <f>204360000*B235</f>
        <v>204360000</v>
      </c>
      <c r="H26" s="71">
        <f>204360000*B235</f>
        <v>204360000</v>
      </c>
      <c r="I26" s="71">
        <f>204360000*B235</f>
        <v>204360000</v>
      </c>
      <c r="J26" s="5"/>
      <c r="K26" s="71"/>
      <c r="L26" s="39"/>
      <c r="M26" s="5"/>
      <c r="N26" s="39"/>
      <c r="O26" s="39"/>
      <c r="P26" s="39"/>
      <c r="Q26" s="39"/>
    </row>
    <row r="27" spans="1:17" ht="12.75">
      <c r="A27" s="26" t="s">
        <v>74</v>
      </c>
      <c r="B27" s="6">
        <v>36643</v>
      </c>
      <c r="C27" s="5" t="s">
        <v>39</v>
      </c>
      <c r="D27" s="39">
        <f>SUM(G27:O27)</f>
        <v>1000000000</v>
      </c>
      <c r="E27" s="5"/>
      <c r="F27" s="5" t="s">
        <v>47</v>
      </c>
      <c r="G27" s="39"/>
      <c r="H27" s="39"/>
      <c r="I27" s="39">
        <v>250000000</v>
      </c>
      <c r="J27" s="39">
        <v>250000000</v>
      </c>
      <c r="K27" s="39">
        <v>500000000</v>
      </c>
      <c r="L27" s="39"/>
      <c r="M27" s="5"/>
      <c r="N27" s="39"/>
      <c r="O27" s="39"/>
      <c r="P27" s="39"/>
      <c r="Q27" s="39"/>
    </row>
    <row r="28" spans="1:17" ht="12.75">
      <c r="A28" s="26"/>
      <c r="B28" s="5"/>
      <c r="C28" s="5"/>
      <c r="D28" s="5"/>
      <c r="E28" s="39">
        <f>SUM(G28:O28)</f>
        <v>350000000</v>
      </c>
      <c r="F28" s="5" t="s">
        <v>48</v>
      </c>
      <c r="G28" s="39">
        <v>100000000</v>
      </c>
      <c r="H28" s="39">
        <v>100000000</v>
      </c>
      <c r="I28" s="39">
        <v>75000000</v>
      </c>
      <c r="J28" s="39">
        <v>62500000</v>
      </c>
      <c r="K28" s="39">
        <v>12500000</v>
      </c>
      <c r="L28" s="38"/>
      <c r="M28" s="8"/>
      <c r="N28" s="38"/>
      <c r="O28" s="38"/>
      <c r="P28" s="38"/>
      <c r="Q28" s="38"/>
    </row>
    <row r="29" spans="1:17" ht="12.75">
      <c r="A29" s="26" t="s">
        <v>74</v>
      </c>
      <c r="B29" s="6">
        <v>36672</v>
      </c>
      <c r="C29" s="5" t="s">
        <v>39</v>
      </c>
      <c r="D29" s="39">
        <f>SUM(G29:O29)</f>
        <v>3000000000</v>
      </c>
      <c r="E29" s="5"/>
      <c r="F29" s="5" t="s">
        <v>47</v>
      </c>
      <c r="G29" s="39"/>
      <c r="H29" s="39"/>
      <c r="I29" s="39"/>
      <c r="J29" s="39"/>
      <c r="K29" s="39">
        <v>3000000000</v>
      </c>
      <c r="L29" s="39"/>
      <c r="M29" s="5"/>
      <c r="N29" s="39"/>
      <c r="O29" s="39"/>
      <c r="P29" s="39"/>
      <c r="Q29" s="39"/>
    </row>
    <row r="30" spans="1:17" ht="12.75">
      <c r="A30" s="26"/>
      <c r="B30" s="5"/>
      <c r="C30" s="5"/>
      <c r="D30" s="5"/>
      <c r="E30" s="39">
        <f>SUM(G30:O30)</f>
        <v>1325000000</v>
      </c>
      <c r="F30" s="5" t="s">
        <v>48</v>
      </c>
      <c r="G30" s="39">
        <v>300000000</v>
      </c>
      <c r="H30" s="39">
        <v>300000000</v>
      </c>
      <c r="I30" s="39">
        <v>300000000</v>
      </c>
      <c r="J30" s="39">
        <v>300000000</v>
      </c>
      <c r="K30" s="39">
        <v>125000000</v>
      </c>
      <c r="L30" s="39"/>
      <c r="M30" s="5"/>
      <c r="N30" s="39"/>
      <c r="O30" s="39"/>
      <c r="P30" s="39"/>
      <c r="Q30" s="39"/>
    </row>
    <row r="31" spans="1:17" ht="12.75">
      <c r="A31" s="26" t="s">
        <v>26</v>
      </c>
      <c r="B31" s="6">
        <v>36717</v>
      </c>
      <c r="C31" s="5" t="s">
        <v>39</v>
      </c>
      <c r="D31" s="39">
        <f>SUM(G31:O31)</f>
        <v>4100000000</v>
      </c>
      <c r="E31" s="5"/>
      <c r="F31" s="5" t="s">
        <v>47</v>
      </c>
      <c r="G31" s="39"/>
      <c r="H31" s="39"/>
      <c r="I31" s="39"/>
      <c r="J31" s="39"/>
      <c r="K31" s="39">
        <v>4100000000</v>
      </c>
      <c r="L31" s="38"/>
      <c r="M31" s="8"/>
      <c r="N31" s="38"/>
      <c r="O31" s="38"/>
      <c r="P31" s="38"/>
      <c r="Q31" s="38"/>
    </row>
    <row r="32" spans="1:17" ht="13.5" thickBot="1">
      <c r="A32" s="26"/>
      <c r="B32" s="5"/>
      <c r="C32" s="5"/>
      <c r="D32" s="5"/>
      <c r="E32" s="39">
        <f>SUM(G32:O32)</f>
        <v>2160100000</v>
      </c>
      <c r="F32" s="5" t="s">
        <v>48</v>
      </c>
      <c r="G32" s="39">
        <v>479700000</v>
      </c>
      <c r="H32" s="39">
        <v>479700000</v>
      </c>
      <c r="I32" s="39">
        <v>479700000</v>
      </c>
      <c r="J32" s="39">
        <v>479700000</v>
      </c>
      <c r="K32" s="39">
        <v>241300000</v>
      </c>
      <c r="L32" s="71"/>
      <c r="M32" s="70"/>
      <c r="N32" s="71"/>
      <c r="O32" s="71"/>
      <c r="P32" s="71"/>
      <c r="Q32" s="71"/>
    </row>
    <row r="33" spans="1:17" s="2" customFormat="1" ht="14.25" thickBot="1" thickTop="1">
      <c r="A33" s="28" t="s">
        <v>8</v>
      </c>
      <c r="B33" s="17"/>
      <c r="C33" s="17"/>
      <c r="D33" s="41">
        <f>SUM(D7:D31)</f>
        <v>32543616142.4603</v>
      </c>
      <c r="E33" s="41">
        <f>SUM(E7:E32)</f>
        <v>10296685798.49723</v>
      </c>
      <c r="F33" s="17"/>
      <c r="G33" s="41">
        <f aca="true" t="shared" si="0" ref="G33:O33">SUM(G7:G32)</f>
        <v>5870703030.037701</v>
      </c>
      <c r="H33" s="41">
        <f t="shared" si="0"/>
        <v>6751722621.72086</v>
      </c>
      <c r="I33" s="41">
        <f t="shared" si="0"/>
        <v>6897570958.635349</v>
      </c>
      <c r="J33" s="41">
        <f t="shared" si="0"/>
        <v>4904019014.30964</v>
      </c>
      <c r="K33" s="103">
        <f t="shared" si="0"/>
        <v>11555683158.626791</v>
      </c>
      <c r="L33" s="41">
        <f t="shared" si="0"/>
        <v>3344175279.78789</v>
      </c>
      <c r="M33" s="41">
        <f t="shared" si="0"/>
        <v>2279526197.07588</v>
      </c>
      <c r="N33" s="41">
        <f t="shared" si="0"/>
        <v>1134288477.7408702</v>
      </c>
      <c r="O33" s="41">
        <f t="shared" si="0"/>
        <v>102613203.02254999</v>
      </c>
      <c r="P33" s="41"/>
      <c r="Q33" s="41"/>
    </row>
    <row r="34" spans="1:17" ht="13.5" thickBot="1">
      <c r="A34" s="2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s="1" customFormat="1" ht="12.75">
      <c r="A35" s="18" t="s">
        <v>31</v>
      </c>
      <c r="B35" s="19" t="s">
        <v>32</v>
      </c>
      <c r="C35" s="20" t="s">
        <v>35</v>
      </c>
      <c r="D35" s="19" t="s">
        <v>65</v>
      </c>
      <c r="E35" s="21"/>
      <c r="F35" s="20"/>
      <c r="G35" s="22"/>
      <c r="H35" s="22"/>
      <c r="I35" s="22"/>
      <c r="J35" s="22" t="s">
        <v>63</v>
      </c>
      <c r="K35" s="22"/>
      <c r="L35" s="22"/>
      <c r="M35" s="22"/>
      <c r="N35" s="22"/>
      <c r="O35" s="22"/>
      <c r="P35" s="22"/>
      <c r="Q35" s="22"/>
    </row>
    <row r="36" spans="1:17" s="1" customFormat="1" ht="12.75">
      <c r="A36" s="23"/>
      <c r="B36" s="3" t="s">
        <v>33</v>
      </c>
      <c r="C36" s="7"/>
      <c r="D36" s="9" t="s">
        <v>46</v>
      </c>
      <c r="E36" s="10"/>
      <c r="F36" s="7"/>
      <c r="G36" s="4"/>
      <c r="H36" s="4"/>
      <c r="I36" s="4"/>
      <c r="J36" s="4"/>
      <c r="K36" s="4"/>
      <c r="L36" s="4"/>
      <c r="M36" s="4"/>
      <c r="N36" s="4"/>
      <c r="O36" s="4"/>
      <c r="P36" s="4"/>
      <c r="Q36" s="67" t="s">
        <v>88</v>
      </c>
    </row>
    <row r="37" spans="1:17" ht="13.5" thickBot="1">
      <c r="A37" s="24"/>
      <c r="B37" s="12" t="s">
        <v>34</v>
      </c>
      <c r="C37" s="13"/>
      <c r="D37" s="14" t="s">
        <v>47</v>
      </c>
      <c r="E37" s="14" t="s">
        <v>48</v>
      </c>
      <c r="F37" s="13"/>
      <c r="G37" s="97">
        <v>2001</v>
      </c>
      <c r="H37" s="97">
        <v>2002</v>
      </c>
      <c r="I37" s="97">
        <v>2003</v>
      </c>
      <c r="J37" s="97">
        <v>2004</v>
      </c>
      <c r="K37" s="97">
        <v>2005</v>
      </c>
      <c r="L37" s="97">
        <v>2006</v>
      </c>
      <c r="M37" s="97">
        <v>2007</v>
      </c>
      <c r="N37" s="97">
        <v>2008</v>
      </c>
      <c r="O37" s="97">
        <v>2009</v>
      </c>
      <c r="P37" s="97">
        <v>2010</v>
      </c>
      <c r="Q37" s="97" t="s">
        <v>87</v>
      </c>
    </row>
    <row r="38" spans="1:17" ht="13.5" thickTop="1">
      <c r="A38" s="25" t="s">
        <v>9</v>
      </c>
      <c r="B38" s="8"/>
      <c r="C38" s="8"/>
      <c r="D38" s="8"/>
      <c r="E38" s="8"/>
      <c r="F38" s="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12.75">
      <c r="A39" s="26" t="s">
        <v>10</v>
      </c>
      <c r="B39" s="6">
        <v>35415</v>
      </c>
      <c r="C39" s="5" t="s">
        <v>38</v>
      </c>
      <c r="D39" s="39">
        <f>SUM(L39)</f>
        <v>9477800000</v>
      </c>
      <c r="E39" s="5"/>
      <c r="F39" s="5" t="s">
        <v>47</v>
      </c>
      <c r="G39" s="5"/>
      <c r="H39" s="39"/>
      <c r="I39" s="39"/>
      <c r="J39" s="39"/>
      <c r="K39" s="39"/>
      <c r="L39" s="39">
        <f>200000000*B227</f>
        <v>9477800000</v>
      </c>
      <c r="M39" s="5"/>
      <c r="N39" s="39"/>
      <c r="O39" s="39"/>
      <c r="P39" s="39"/>
      <c r="Q39" s="39"/>
    </row>
    <row r="40" spans="1:17" ht="12.75">
      <c r="A40" s="26"/>
      <c r="B40" s="5"/>
      <c r="C40" s="5"/>
      <c r="D40" s="5"/>
      <c r="E40" s="39">
        <f>SUM(G40:L40)</f>
        <v>4122843000</v>
      </c>
      <c r="F40" s="5" t="s">
        <v>48</v>
      </c>
      <c r="G40" s="39">
        <f>14500000*B227</f>
        <v>687140500</v>
      </c>
      <c r="H40" s="39">
        <f>14500000*B227</f>
        <v>687140500</v>
      </c>
      <c r="I40" s="39">
        <f>14500000*B227</f>
        <v>687140500</v>
      </c>
      <c r="J40" s="39">
        <f>14500000*B227</f>
        <v>687140500</v>
      </c>
      <c r="K40" s="39">
        <f>14500000*B227</f>
        <v>687140500</v>
      </c>
      <c r="L40" s="39">
        <f>14500000*B227</f>
        <v>687140500</v>
      </c>
      <c r="M40" s="5"/>
      <c r="N40" s="39"/>
      <c r="O40" s="39"/>
      <c r="P40" s="39"/>
      <c r="Q40" s="39"/>
    </row>
    <row r="41" spans="1:17" ht="12.75">
      <c r="A41" s="26" t="s">
        <v>11</v>
      </c>
      <c r="B41" s="6">
        <v>35982</v>
      </c>
      <c r="C41" s="5" t="s">
        <v>36</v>
      </c>
      <c r="D41" s="39">
        <f>SUM(G41)</f>
        <v>3936625000</v>
      </c>
      <c r="E41" s="5"/>
      <c r="F41" s="5" t="s">
        <v>47</v>
      </c>
      <c r="G41" s="39">
        <f>175000000*B226</f>
        <v>3936625000</v>
      </c>
      <c r="H41" s="5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2.75">
      <c r="A42" s="26"/>
      <c r="B42" s="5"/>
      <c r="C42" s="5"/>
      <c r="D42" s="5"/>
      <c r="E42" s="39">
        <f>SUM(G42:G42)</f>
        <v>314930000</v>
      </c>
      <c r="F42" s="5" t="s">
        <v>48</v>
      </c>
      <c r="G42" s="39">
        <f>14000000*B226</f>
        <v>314930000</v>
      </c>
      <c r="H42" s="5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2.75">
      <c r="A43" s="26" t="s">
        <v>11</v>
      </c>
      <c r="B43" s="6">
        <v>36370</v>
      </c>
      <c r="C43" s="5" t="s">
        <v>40</v>
      </c>
      <c r="D43" s="39">
        <f>SUM(H43)</f>
        <v>1759840000</v>
      </c>
      <c r="E43" s="5"/>
      <c r="F43" s="5" t="s">
        <v>47</v>
      </c>
      <c r="G43" s="39"/>
      <c r="H43" s="39">
        <f>40000000*B229</f>
        <v>1759840000</v>
      </c>
      <c r="I43" s="5"/>
      <c r="J43" s="39"/>
      <c r="K43" s="39"/>
      <c r="L43" s="39"/>
      <c r="M43" s="39"/>
      <c r="N43" s="39"/>
      <c r="O43" s="39"/>
      <c r="P43" s="39"/>
      <c r="Q43" s="39"/>
    </row>
    <row r="44" spans="1:17" ht="13.5" thickBot="1">
      <c r="A44" s="27"/>
      <c r="B44" s="14"/>
      <c r="C44" s="14"/>
      <c r="D44" s="14"/>
      <c r="E44" s="40">
        <f>SUM(G44:H44)</f>
        <v>322666664</v>
      </c>
      <c r="F44" s="14" t="s">
        <v>48</v>
      </c>
      <c r="G44" s="40">
        <f>3667000*B229</f>
        <v>161333332</v>
      </c>
      <c r="H44" s="40">
        <f>3667000*B229</f>
        <v>161333332</v>
      </c>
      <c r="I44" s="14"/>
      <c r="J44" s="40"/>
      <c r="K44" s="40"/>
      <c r="L44" s="40"/>
      <c r="M44" s="40"/>
      <c r="N44" s="40"/>
      <c r="O44" s="40"/>
      <c r="P44" s="40"/>
      <c r="Q44" s="40"/>
    </row>
    <row r="45" spans="1:17" s="2" customFormat="1" ht="14.25" thickBot="1" thickTop="1">
      <c r="A45" s="31" t="s">
        <v>8</v>
      </c>
      <c r="B45" s="32"/>
      <c r="C45" s="32"/>
      <c r="D45" s="42">
        <f>SUM(D39:D44)</f>
        <v>15174265000</v>
      </c>
      <c r="E45" s="42">
        <f>SUM(E39:E44)</f>
        <v>4760439664</v>
      </c>
      <c r="F45" s="32"/>
      <c r="G45" s="42">
        <f aca="true" t="shared" si="1" ref="G45:L45">SUM(G39:G44)</f>
        <v>5100028832</v>
      </c>
      <c r="H45" s="42">
        <f t="shared" si="1"/>
        <v>2608313832</v>
      </c>
      <c r="I45" s="42">
        <f t="shared" si="1"/>
        <v>687140500</v>
      </c>
      <c r="J45" s="42">
        <f t="shared" si="1"/>
        <v>687140500</v>
      </c>
      <c r="K45" s="42">
        <f t="shared" si="1"/>
        <v>687140500</v>
      </c>
      <c r="L45" s="42">
        <f t="shared" si="1"/>
        <v>10164940500</v>
      </c>
      <c r="M45" s="32"/>
      <c r="N45" s="32"/>
      <c r="O45" s="32"/>
      <c r="P45" s="32"/>
      <c r="Q45" s="32"/>
    </row>
    <row r="46" spans="1:17" ht="13.5" thickBot="1">
      <c r="A46" s="29"/>
      <c r="B46" s="16"/>
      <c r="C46" s="16"/>
      <c r="D46" s="16"/>
      <c r="E46" s="16"/>
      <c r="F46" s="16"/>
      <c r="G46" s="16"/>
      <c r="H46" s="16"/>
      <c r="I46" s="16"/>
      <c r="J46" s="37"/>
      <c r="K46" s="16"/>
      <c r="L46" s="16"/>
      <c r="M46" s="16"/>
      <c r="N46" s="16"/>
      <c r="O46" s="16"/>
      <c r="P46" s="16"/>
      <c r="Q46" s="16"/>
    </row>
    <row r="47" spans="1:17" s="1" customFormat="1" ht="12.75">
      <c r="A47" s="18" t="s">
        <v>31</v>
      </c>
      <c r="B47" s="19" t="s">
        <v>32</v>
      </c>
      <c r="C47" s="20" t="s">
        <v>35</v>
      </c>
      <c r="D47" s="19" t="s">
        <v>65</v>
      </c>
      <c r="E47" s="21"/>
      <c r="F47" s="20"/>
      <c r="G47" s="22"/>
      <c r="H47" s="22"/>
      <c r="I47" s="22"/>
      <c r="J47" s="4" t="s">
        <v>63</v>
      </c>
      <c r="K47" s="22"/>
      <c r="L47" s="22"/>
      <c r="M47" s="22"/>
      <c r="N47" s="22"/>
      <c r="O47" s="22"/>
      <c r="P47" s="22"/>
      <c r="Q47" s="22"/>
    </row>
    <row r="48" spans="1:17" s="1" customFormat="1" ht="12.75">
      <c r="A48" s="23"/>
      <c r="B48" s="3" t="s">
        <v>33</v>
      </c>
      <c r="C48" s="7"/>
      <c r="D48" s="9" t="s">
        <v>46</v>
      </c>
      <c r="E48" s="10"/>
      <c r="F48" s="7"/>
      <c r="G48" s="4"/>
      <c r="H48" s="4"/>
      <c r="I48" s="4"/>
      <c r="J48" s="4"/>
      <c r="K48" s="4"/>
      <c r="L48" s="4"/>
      <c r="M48" s="4"/>
      <c r="N48" s="4"/>
      <c r="O48" s="4"/>
      <c r="P48" s="4"/>
      <c r="Q48" s="67" t="s">
        <v>88</v>
      </c>
    </row>
    <row r="49" spans="1:17" ht="13.5" thickBot="1">
      <c r="A49" s="24"/>
      <c r="B49" s="12" t="s">
        <v>34</v>
      </c>
      <c r="C49" s="13"/>
      <c r="D49" s="14" t="s">
        <v>47</v>
      </c>
      <c r="E49" s="14" t="s">
        <v>48</v>
      </c>
      <c r="F49" s="13"/>
      <c r="G49" s="97">
        <v>2001</v>
      </c>
      <c r="H49" s="97">
        <v>2002</v>
      </c>
      <c r="I49" s="97">
        <v>2003</v>
      </c>
      <c r="J49" s="97">
        <v>2004</v>
      </c>
      <c r="K49" s="97">
        <v>2005</v>
      </c>
      <c r="L49" s="97">
        <v>2006</v>
      </c>
      <c r="M49" s="97">
        <v>2007</v>
      </c>
      <c r="N49" s="97">
        <v>2008</v>
      </c>
      <c r="O49" s="97">
        <v>2009</v>
      </c>
      <c r="P49" s="97">
        <v>2010</v>
      </c>
      <c r="Q49" s="97" t="s">
        <v>87</v>
      </c>
    </row>
    <row r="50" spans="1:17" ht="13.5" thickTop="1">
      <c r="A50" s="25" t="s">
        <v>69</v>
      </c>
      <c r="B50" s="8"/>
      <c r="C50" s="8"/>
      <c r="D50" s="8"/>
      <c r="E50" s="8"/>
      <c r="F50" s="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12.75">
      <c r="A51" s="26" t="s">
        <v>20</v>
      </c>
      <c r="B51" s="6">
        <v>34086</v>
      </c>
      <c r="C51" s="5" t="s">
        <v>36</v>
      </c>
      <c r="D51" s="39">
        <f>SUM(G51:H51)</f>
        <v>165666789.47500002</v>
      </c>
      <c r="E51" s="5"/>
      <c r="F51" s="5" t="s">
        <v>47</v>
      </c>
      <c r="G51" s="39">
        <f>3684460*B226</f>
        <v>82881927.7</v>
      </c>
      <c r="H51" s="39">
        <f>3680145*B226</f>
        <v>82784861.775</v>
      </c>
      <c r="I51" s="5"/>
      <c r="J51" s="39"/>
      <c r="K51" s="39"/>
      <c r="L51" s="39"/>
      <c r="M51" s="39"/>
      <c r="N51" s="39"/>
      <c r="O51" s="39"/>
      <c r="P51" s="39"/>
      <c r="Q51" s="39"/>
    </row>
    <row r="52" spans="1:17" ht="12.75">
      <c r="A52" s="26"/>
      <c r="B52" s="5"/>
      <c r="C52" s="5"/>
      <c r="D52" s="5"/>
      <c r="E52" s="39">
        <f>SUM(G52:H52)</f>
        <v>15022349.5081</v>
      </c>
      <c r="F52" s="5" t="s">
        <v>48</v>
      </c>
      <c r="G52" s="39">
        <f>467465.86*B226</f>
        <v>10515644.5207</v>
      </c>
      <c r="H52" s="39">
        <f>200342.52*B226</f>
        <v>4506704.9874</v>
      </c>
      <c r="I52" s="5"/>
      <c r="J52" s="39"/>
      <c r="K52" s="39"/>
      <c r="L52" s="39"/>
      <c r="M52" s="39"/>
      <c r="N52" s="39"/>
      <c r="O52" s="39"/>
      <c r="P52" s="39"/>
      <c r="Q52" s="39"/>
    </row>
    <row r="53" spans="1:17" ht="12.75">
      <c r="A53" s="26" t="s">
        <v>21</v>
      </c>
      <c r="B53" s="6">
        <v>34136</v>
      </c>
      <c r="C53" s="5" t="s">
        <v>36</v>
      </c>
      <c r="D53" s="39">
        <f>SUM(G53:H53)</f>
        <v>103342164.97</v>
      </c>
      <c r="E53" s="5"/>
      <c r="F53" s="5" t="s">
        <v>47</v>
      </c>
      <c r="G53" s="39">
        <f>3104590*B226</f>
        <v>69837752.05</v>
      </c>
      <c r="H53" s="39">
        <f>1489416*B226</f>
        <v>33504412.92</v>
      </c>
      <c r="I53" s="5"/>
      <c r="J53" s="39"/>
      <c r="K53" s="39"/>
      <c r="L53" s="39"/>
      <c r="M53" s="39"/>
      <c r="N53" s="39"/>
      <c r="O53" s="39"/>
      <c r="P53" s="39"/>
      <c r="Q53" s="39"/>
    </row>
    <row r="54" spans="1:17" ht="12.75">
      <c r="A54" s="26"/>
      <c r="B54" s="5"/>
      <c r="C54" s="5"/>
      <c r="D54" s="5"/>
      <c r="E54" s="39">
        <f>SUM(G54:H54)</f>
        <v>6835486.3654</v>
      </c>
      <c r="F54" s="5" t="s">
        <v>48</v>
      </c>
      <c r="G54" s="39">
        <f>254269.37*B226</f>
        <v>5719789.47815</v>
      </c>
      <c r="H54" s="39">
        <f>49597.55*B226</f>
        <v>1115696.8872500001</v>
      </c>
      <c r="I54" s="5"/>
      <c r="J54" s="39"/>
      <c r="K54" s="39"/>
      <c r="L54" s="39"/>
      <c r="M54" s="39"/>
      <c r="N54" s="39"/>
      <c r="O54" s="39"/>
      <c r="P54" s="39"/>
      <c r="Q54" s="39"/>
    </row>
    <row r="55" spans="1:17" ht="12.75">
      <c r="A55" s="26" t="s">
        <v>12</v>
      </c>
      <c r="B55" s="6">
        <v>34470</v>
      </c>
      <c r="C55" s="5" t="s">
        <v>40</v>
      </c>
      <c r="D55" s="39">
        <f>SUM(G55:M55)</f>
        <v>1354460856</v>
      </c>
      <c r="E55" s="5"/>
      <c r="F55" s="5" t="s">
        <v>47</v>
      </c>
      <c r="G55" s="39">
        <f>4398000*B229</f>
        <v>193494408</v>
      </c>
      <c r="H55" s="39">
        <f>4398000*B229</f>
        <v>193494408</v>
      </c>
      <c r="I55" s="39">
        <f>4398000*B229</f>
        <v>193494408</v>
      </c>
      <c r="J55" s="39">
        <f>4398000*B229</f>
        <v>193494408</v>
      </c>
      <c r="K55" s="39">
        <f>4398000*B229</f>
        <v>193494408</v>
      </c>
      <c r="L55" s="39">
        <f>4398000*B229</f>
        <v>193494408</v>
      </c>
      <c r="M55" s="39">
        <f>4398000*B229</f>
        <v>193494408</v>
      </c>
      <c r="N55" s="5"/>
      <c r="O55" s="39"/>
      <c r="P55" s="39"/>
      <c r="Q55" s="39"/>
    </row>
    <row r="56" spans="1:17" ht="12.75">
      <c r="A56" s="26"/>
      <c r="B56" s="5"/>
      <c r="C56" s="5"/>
      <c r="D56" s="5"/>
      <c r="E56" s="39">
        <f>SUM(G56:M56)</f>
        <v>264107988</v>
      </c>
      <c r="F56" s="5" t="s">
        <v>48</v>
      </c>
      <c r="G56" s="39">
        <f>1543000*B229</f>
        <v>67885828</v>
      </c>
      <c r="H56" s="39">
        <f>1315000*B229</f>
        <v>57854740</v>
      </c>
      <c r="I56" s="39">
        <f>1087000*B229</f>
        <v>47823652</v>
      </c>
      <c r="J56" s="39">
        <f>857000*B229</f>
        <v>37704572</v>
      </c>
      <c r="K56" s="39">
        <f>629000*B229</f>
        <v>27673484</v>
      </c>
      <c r="L56" s="39">
        <f>401000*B229</f>
        <v>17642396</v>
      </c>
      <c r="M56" s="39">
        <f>171000*B229</f>
        <v>7523316</v>
      </c>
      <c r="N56" s="5"/>
      <c r="O56" s="39"/>
      <c r="P56" s="39"/>
      <c r="Q56" s="39"/>
    </row>
    <row r="57" spans="1:17" ht="12.75">
      <c r="A57" s="26" t="s">
        <v>13</v>
      </c>
      <c r="B57" s="6">
        <v>34470</v>
      </c>
      <c r="C57" s="5" t="s">
        <v>41</v>
      </c>
      <c r="D57" s="39">
        <f>SUM(G57:M57)</f>
        <v>462002310</v>
      </c>
      <c r="E57" s="5"/>
      <c r="F57" s="5" t="s">
        <v>47</v>
      </c>
      <c r="G57" s="39">
        <f>2934000*B226</f>
        <v>66000330</v>
      </c>
      <c r="H57" s="39">
        <f>2934000*B226</f>
        <v>66000330</v>
      </c>
      <c r="I57" s="39">
        <f>2934000*B226</f>
        <v>66000330</v>
      </c>
      <c r="J57" s="39">
        <f>2934000*B226</f>
        <v>66000330</v>
      </c>
      <c r="K57" s="39">
        <f>2934000*B226</f>
        <v>66000330</v>
      </c>
      <c r="L57" s="39">
        <f>2934000*B226</f>
        <v>66000330</v>
      </c>
      <c r="M57" s="39">
        <f>2934000*B226</f>
        <v>66000330</v>
      </c>
      <c r="N57" s="5"/>
      <c r="O57" s="39"/>
      <c r="P57" s="39"/>
      <c r="Q57" s="39"/>
    </row>
    <row r="58" spans="1:17" ht="12.75">
      <c r="A58" s="26"/>
      <c r="B58" s="5"/>
      <c r="C58" s="5"/>
      <c r="D58" s="5"/>
      <c r="E58" s="39">
        <f>SUM(G58:M58)</f>
        <v>124757270</v>
      </c>
      <c r="F58" s="5" t="s">
        <v>48</v>
      </c>
      <c r="G58" s="39">
        <f>1363000*B226</f>
        <v>30660685</v>
      </c>
      <c r="H58" s="39">
        <f>1175000*B226</f>
        <v>26431625</v>
      </c>
      <c r="I58" s="39">
        <f>987000*B226</f>
        <v>22202565</v>
      </c>
      <c r="J58" s="39">
        <f>799000*B226</f>
        <v>17973505</v>
      </c>
      <c r="K58" s="39">
        <f>611000*B226</f>
        <v>13744445</v>
      </c>
      <c r="L58" s="39">
        <f>423000*B226</f>
        <v>9515385</v>
      </c>
      <c r="M58" s="39">
        <f>188000*B226</f>
        <v>4229060</v>
      </c>
      <c r="N58" s="5"/>
      <c r="O58" s="39"/>
      <c r="P58" s="39"/>
      <c r="Q58" s="39"/>
    </row>
    <row r="59" spans="1:17" ht="12.75">
      <c r="A59" s="26"/>
      <c r="B59" s="5"/>
      <c r="C59" s="5" t="s">
        <v>42</v>
      </c>
      <c r="D59" s="39">
        <f>SUM(G59:M59)</f>
        <v>491438640</v>
      </c>
      <c r="E59" s="5"/>
      <c r="F59" s="5" t="s">
        <v>47</v>
      </c>
      <c r="G59" s="39">
        <f>2436000*B232</f>
        <v>70205520</v>
      </c>
      <c r="H59" s="39">
        <f>2436000*B232</f>
        <v>70205520</v>
      </c>
      <c r="I59" s="39">
        <f>2436000*B232</f>
        <v>70205520</v>
      </c>
      <c r="J59" s="39">
        <f>2436000*B232</f>
        <v>70205520</v>
      </c>
      <c r="K59" s="39">
        <f>2436000*B232</f>
        <v>70205520</v>
      </c>
      <c r="L59" s="39">
        <f>2436000*B232</f>
        <v>70205520</v>
      </c>
      <c r="M59" s="39">
        <f>2436000*B232</f>
        <v>70205520</v>
      </c>
      <c r="N59" s="5"/>
      <c r="O59" s="39"/>
      <c r="P59" s="39"/>
      <c r="Q59" s="39"/>
    </row>
    <row r="60" spans="1:17" ht="12.75">
      <c r="A60" s="26"/>
      <c r="B60" s="5"/>
      <c r="C60" s="5"/>
      <c r="D60" s="5"/>
      <c r="E60" s="39">
        <f>SUM(G60:M60)</f>
        <v>115366460</v>
      </c>
      <c r="F60" s="5" t="s">
        <v>48</v>
      </c>
      <c r="G60" s="39">
        <f>984000*B232</f>
        <v>28358880</v>
      </c>
      <c r="H60" s="39">
        <f>848000*B232</f>
        <v>24439360</v>
      </c>
      <c r="I60" s="39">
        <f>712000*B232</f>
        <v>20519840</v>
      </c>
      <c r="J60" s="39">
        <f>578000*B232</f>
        <v>16657960</v>
      </c>
      <c r="K60" s="39">
        <f>440000*B232</f>
        <v>12680800</v>
      </c>
      <c r="L60" s="39">
        <f>305000*B232</f>
        <v>8790100</v>
      </c>
      <c r="M60" s="39">
        <f>136000*B232</f>
        <v>3919520</v>
      </c>
      <c r="N60" s="5"/>
      <c r="O60" s="39"/>
      <c r="P60" s="39"/>
      <c r="Q60" s="39"/>
    </row>
    <row r="61" spans="1:17" ht="12.75">
      <c r="A61" s="26"/>
      <c r="B61" s="5"/>
      <c r="C61" s="5" t="s">
        <v>43</v>
      </c>
      <c r="D61" s="39">
        <f>SUM(G61:M61)</f>
        <v>510115360.44000006</v>
      </c>
      <c r="E61" s="5"/>
      <c r="F61" s="5" t="s">
        <v>47</v>
      </c>
      <c r="G61" s="39">
        <f>176036000*B233</f>
        <v>72873622.92</v>
      </c>
      <c r="H61" s="39">
        <f>176036000*B233</f>
        <v>72873622.92</v>
      </c>
      <c r="I61" s="39">
        <f>176036000*B233</f>
        <v>72873622.92</v>
      </c>
      <c r="J61" s="39">
        <f>176036000*B233</f>
        <v>72873622.92</v>
      </c>
      <c r="K61" s="39">
        <f>176036000*B233</f>
        <v>72873622.92</v>
      </c>
      <c r="L61" s="39">
        <f>176036000*B233</f>
        <v>72873622.92</v>
      </c>
      <c r="M61" s="39">
        <f>176036000*B233</f>
        <v>72873622.92</v>
      </c>
      <c r="N61" s="5"/>
      <c r="O61" s="39"/>
      <c r="P61" s="39"/>
      <c r="Q61" s="39"/>
    </row>
    <row r="62" spans="1:17" ht="12.75">
      <c r="A62" s="26"/>
      <c r="B62" s="5"/>
      <c r="C62" s="5"/>
      <c r="D62" s="5"/>
      <c r="E62" s="39">
        <f>SUM(G62:M62)</f>
        <v>64278777.779999994</v>
      </c>
      <c r="F62" s="5" t="s">
        <v>48</v>
      </c>
      <c r="G62" s="39">
        <f>38160000*B233</f>
        <v>15797095.2</v>
      </c>
      <c r="H62" s="39">
        <f>32896000*B233</f>
        <v>13617957.120000001</v>
      </c>
      <c r="I62" s="39">
        <f>27634000*B233</f>
        <v>11439646.98</v>
      </c>
      <c r="J62" s="39">
        <f>22370000*B233</f>
        <v>9260508.9</v>
      </c>
      <c r="K62" s="39">
        <f>17106000*B233</f>
        <v>7081370.82</v>
      </c>
      <c r="L62" s="39">
        <f>11844000*B233</f>
        <v>4903060.68</v>
      </c>
      <c r="M62" s="39">
        <f>5264000*B233</f>
        <v>2179138.08</v>
      </c>
      <c r="N62" s="5"/>
      <c r="O62" s="39"/>
      <c r="P62" s="39"/>
      <c r="Q62" s="39"/>
    </row>
    <row r="63" spans="1:17" ht="12.75">
      <c r="A63" s="26" t="s">
        <v>14</v>
      </c>
      <c r="B63" s="6">
        <v>34470</v>
      </c>
      <c r="C63" s="5" t="s">
        <v>38</v>
      </c>
      <c r="D63" s="39">
        <f>SUM(G63:P63)</f>
        <v>2203351555</v>
      </c>
      <c r="E63" s="5"/>
      <c r="F63" s="5" t="s">
        <v>47</v>
      </c>
      <c r="G63" s="39">
        <f>3280000*B227</f>
        <v>155435920</v>
      </c>
      <c r="H63" s="39">
        <f>3525000*B227</f>
        <v>167046225</v>
      </c>
      <c r="I63" s="39">
        <f>3790000*B227</f>
        <v>179604310</v>
      </c>
      <c r="J63" s="39">
        <f>4075000*B227</f>
        <v>193110175</v>
      </c>
      <c r="K63" s="39">
        <f>4390000*B227</f>
        <v>208037710</v>
      </c>
      <c r="L63" s="39">
        <f>4715000*B227</f>
        <v>223439135</v>
      </c>
      <c r="M63" s="39">
        <f>5075000*B227</f>
        <v>240499175</v>
      </c>
      <c r="N63" s="39">
        <f>5460000*B227</f>
        <v>258743940.00000003</v>
      </c>
      <c r="O63" s="39">
        <f>5870000*B227</f>
        <v>278173430</v>
      </c>
      <c r="P63" s="39">
        <f>6315000*B227</f>
        <v>299261535</v>
      </c>
      <c r="Q63" s="5"/>
    </row>
    <row r="64" spans="1:17" ht="12.75">
      <c r="A64" s="26"/>
      <c r="B64" s="5"/>
      <c r="C64" s="5"/>
      <c r="D64" s="5"/>
      <c r="E64" s="39">
        <f>SUM(G64:P64)</f>
        <v>808740674</v>
      </c>
      <c r="F64" s="5" t="s">
        <v>48</v>
      </c>
      <c r="G64" s="39">
        <f>2840000*B227</f>
        <v>134584760</v>
      </c>
      <c r="H64" s="39">
        <f>2632000*B227</f>
        <v>124727848.00000001</v>
      </c>
      <c r="I64" s="39">
        <f>2408000*B227</f>
        <v>114112712</v>
      </c>
      <c r="J64" s="39">
        <f>2167000*B227</f>
        <v>102691963</v>
      </c>
      <c r="K64" s="39">
        <f>1907000*B227</f>
        <v>90370823</v>
      </c>
      <c r="L64" s="39">
        <f>1629000*B227</f>
        <v>77196681</v>
      </c>
      <c r="M64" s="39">
        <f>1329000*B227</f>
        <v>62979981.00000001</v>
      </c>
      <c r="N64" s="39">
        <f>1007000*B227</f>
        <v>47720723</v>
      </c>
      <c r="O64" s="39">
        <f>860000*B227</f>
        <v>40754540</v>
      </c>
      <c r="P64" s="39">
        <f>287000*B227</f>
        <v>13600643</v>
      </c>
      <c r="Q64" s="5"/>
    </row>
    <row r="65" spans="1:17" ht="12.75">
      <c r="A65" s="26" t="s">
        <v>15</v>
      </c>
      <c r="B65" s="6">
        <v>34684</v>
      </c>
      <c r="C65" s="5" t="s">
        <v>44</v>
      </c>
      <c r="D65" s="39">
        <f>SUM(G65:G65)</f>
        <v>18756.1255</v>
      </c>
      <c r="E65" s="5"/>
      <c r="F65" s="5" t="s">
        <v>47</v>
      </c>
      <c r="G65" s="39">
        <f>2796.5*B231</f>
        <v>18756.1255</v>
      </c>
      <c r="H65" s="5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2.75">
      <c r="A66" s="26"/>
      <c r="B66" s="5"/>
      <c r="C66" s="5"/>
      <c r="D66" s="5"/>
      <c r="E66" s="39">
        <f>SUM(G66:G66)</f>
        <v>424.01653999999996</v>
      </c>
      <c r="F66" s="5" t="s">
        <v>48</v>
      </c>
      <c r="G66" s="39">
        <f>63.22*B231</f>
        <v>424.01653999999996</v>
      </c>
      <c r="H66" s="5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2.75">
      <c r="A67" s="26" t="s">
        <v>16</v>
      </c>
      <c r="B67" s="6">
        <v>34582</v>
      </c>
      <c r="C67" s="5" t="s">
        <v>36</v>
      </c>
      <c r="D67" s="39">
        <f>SUM(G67:O67)</f>
        <v>380615400</v>
      </c>
      <c r="E67" s="5"/>
      <c r="F67" s="5" t="s">
        <v>47</v>
      </c>
      <c r="G67" s="39">
        <f>1880000*B226</f>
        <v>42290600</v>
      </c>
      <c r="H67" s="39">
        <f>1880000*B226</f>
        <v>42290600</v>
      </c>
      <c r="I67" s="39">
        <f>1880000*B226</f>
        <v>42290600</v>
      </c>
      <c r="J67" s="39">
        <f>1880000*B226</f>
        <v>42290600</v>
      </c>
      <c r="K67" s="39">
        <f>1880000*B226</f>
        <v>42290600</v>
      </c>
      <c r="L67" s="39">
        <f>1880000*B226</f>
        <v>42290600</v>
      </c>
      <c r="M67" s="39">
        <f>1880000*B226</f>
        <v>42290600</v>
      </c>
      <c r="N67" s="39">
        <f>1880000*B226</f>
        <v>42290600</v>
      </c>
      <c r="O67" s="39">
        <f>1880000*B226</f>
        <v>42290600</v>
      </c>
      <c r="P67" s="5"/>
      <c r="Q67" s="39"/>
    </row>
    <row r="68" spans="1:17" ht="12.75">
      <c r="A68" s="26"/>
      <c r="B68" s="5"/>
      <c r="C68" s="5"/>
      <c r="D68" s="5"/>
      <c r="E68" s="39">
        <f>SUM(G68:O68)</f>
        <v>115016935</v>
      </c>
      <c r="F68" s="5" t="s">
        <v>48</v>
      </c>
      <c r="G68" s="39">
        <f>1052000*B226</f>
        <v>23664740</v>
      </c>
      <c r="H68" s="39">
        <f>932000*B226</f>
        <v>20965340</v>
      </c>
      <c r="I68" s="39">
        <f>812000*B226</f>
        <v>18265940</v>
      </c>
      <c r="J68" s="39">
        <f>692000*B226</f>
        <v>15566540</v>
      </c>
      <c r="K68" s="39">
        <f>572000*B226</f>
        <v>12867140</v>
      </c>
      <c r="L68" s="39">
        <f>452000*B226</f>
        <v>10167740</v>
      </c>
      <c r="M68" s="39">
        <f>331000*B226</f>
        <v>7445845</v>
      </c>
      <c r="N68" s="39">
        <f>210000*B226</f>
        <v>4723950</v>
      </c>
      <c r="O68" s="39">
        <f>60000*B226</f>
        <v>1349700</v>
      </c>
      <c r="P68" s="5"/>
      <c r="Q68" s="39"/>
    </row>
    <row r="69" spans="1:17" ht="12.75">
      <c r="A69" s="26"/>
      <c r="B69" s="5"/>
      <c r="C69" s="5" t="s">
        <v>38</v>
      </c>
      <c r="D69" s="39">
        <f>SUM(G69:O69)</f>
        <v>539097264</v>
      </c>
      <c r="E69" s="5"/>
      <c r="F69" s="5" t="s">
        <v>47</v>
      </c>
      <c r="G69" s="39">
        <f>1264000*B227</f>
        <v>59899696</v>
      </c>
      <c r="H69" s="39">
        <f>1264000*B227</f>
        <v>59899696</v>
      </c>
      <c r="I69" s="39">
        <f>1264000*B227</f>
        <v>59899696</v>
      </c>
      <c r="J69" s="39">
        <f>1264000*B227</f>
        <v>59899696</v>
      </c>
      <c r="K69" s="39">
        <f>1264000*B227</f>
        <v>59899696</v>
      </c>
      <c r="L69" s="39">
        <f>1264000*B227</f>
        <v>59899696</v>
      </c>
      <c r="M69" s="39">
        <f>1264000*B227</f>
        <v>59899696</v>
      </c>
      <c r="N69" s="39">
        <f>1264000*B227</f>
        <v>59899696</v>
      </c>
      <c r="O69" s="39">
        <f>1264000*B227</f>
        <v>59899696</v>
      </c>
      <c r="P69" s="5"/>
      <c r="Q69" s="39"/>
    </row>
    <row r="70" spans="1:17" ht="12.75">
      <c r="A70" s="26"/>
      <c r="B70" s="5"/>
      <c r="C70" s="5"/>
      <c r="D70" s="5"/>
      <c r="E70" s="39">
        <f>SUM(G70:O70)</f>
        <v>156004588</v>
      </c>
      <c r="F70" s="5" t="s">
        <v>48</v>
      </c>
      <c r="G70" s="39">
        <f>678000*B227</f>
        <v>32129742.000000004</v>
      </c>
      <c r="H70" s="39">
        <f>600000*B227</f>
        <v>28433400</v>
      </c>
      <c r="I70" s="39">
        <f>523000*B227</f>
        <v>24784447</v>
      </c>
      <c r="J70" s="39">
        <f>445000*B227</f>
        <v>21088105</v>
      </c>
      <c r="K70" s="39">
        <f>368000*B227</f>
        <v>17439152</v>
      </c>
      <c r="L70" s="39">
        <f>291000*B227</f>
        <v>13790199</v>
      </c>
      <c r="M70" s="39">
        <f>213000*B227</f>
        <v>10093857</v>
      </c>
      <c r="N70" s="39">
        <f>135000*B227</f>
        <v>6397515</v>
      </c>
      <c r="O70" s="39">
        <f>39000*B227</f>
        <v>1848171</v>
      </c>
      <c r="P70" s="5"/>
      <c r="Q70" s="39"/>
    </row>
    <row r="71" spans="1:17" ht="12.75">
      <c r="A71" s="26" t="s">
        <v>17</v>
      </c>
      <c r="B71" s="6">
        <v>34884</v>
      </c>
      <c r="C71" s="5" t="s">
        <v>44</v>
      </c>
      <c r="D71" s="39">
        <f>SUM(G71:H71)</f>
        <v>12349238.934099998</v>
      </c>
      <c r="E71" s="5"/>
      <c r="F71" s="5" t="s">
        <v>47</v>
      </c>
      <c r="G71" s="39">
        <f>1643656.45*B231</f>
        <v>11024003.81015</v>
      </c>
      <c r="H71" s="39">
        <f>197589.85*B231</f>
        <v>1325235.12395</v>
      </c>
      <c r="I71" s="5"/>
      <c r="J71" s="39"/>
      <c r="K71" s="39"/>
      <c r="L71" s="39"/>
      <c r="M71" s="39"/>
      <c r="N71" s="39"/>
      <c r="O71" s="39"/>
      <c r="P71" s="39"/>
      <c r="Q71" s="39"/>
    </row>
    <row r="72" spans="1:17" ht="13.5" thickBot="1">
      <c r="A72" s="27"/>
      <c r="B72" s="14"/>
      <c r="C72" s="14"/>
      <c r="D72" s="14"/>
      <c r="E72" s="40">
        <f>SUM(G72:H72)</f>
        <v>343426.16698000004</v>
      </c>
      <c r="F72" s="14" t="s">
        <v>48</v>
      </c>
      <c r="G72" s="40">
        <f>47013.08*B231</f>
        <v>315316.72756</v>
      </c>
      <c r="H72" s="40">
        <f>4191.06*B231</f>
        <v>28109.439420000002</v>
      </c>
      <c r="I72" s="14"/>
      <c r="J72" s="40"/>
      <c r="K72" s="40"/>
      <c r="L72" s="40"/>
      <c r="M72" s="40"/>
      <c r="N72" s="40"/>
      <c r="O72" s="40"/>
      <c r="P72" s="40"/>
      <c r="Q72" s="40"/>
    </row>
    <row r="73" spans="1:17" s="2" customFormat="1" ht="14.25" thickBot="1" thickTop="1">
      <c r="A73" s="31" t="s">
        <v>8</v>
      </c>
      <c r="B73" s="32"/>
      <c r="C73" s="32"/>
      <c r="D73" s="42">
        <f>SUM(D51:D72)</f>
        <v>6222458334.9446</v>
      </c>
      <c r="E73" s="42">
        <f>SUM(E51:E72)</f>
        <v>1670474378.8370202</v>
      </c>
      <c r="F73" s="32"/>
      <c r="G73" s="42">
        <f aca="true" t="shared" si="2" ref="G73:P73">SUM(G51:G72)</f>
        <v>1173595441.5486</v>
      </c>
      <c r="H73" s="42">
        <f t="shared" si="2"/>
        <v>1091545693.17302</v>
      </c>
      <c r="I73" s="42">
        <f t="shared" si="2"/>
        <v>943517289.9000001</v>
      </c>
      <c r="J73" s="42">
        <f t="shared" si="2"/>
        <v>918817505.8199999</v>
      </c>
      <c r="K73" s="42">
        <f t="shared" si="2"/>
        <v>894659101.74</v>
      </c>
      <c r="L73" s="42">
        <f t="shared" si="2"/>
        <v>870208873.6</v>
      </c>
      <c r="M73" s="42">
        <f t="shared" si="2"/>
        <v>843634069</v>
      </c>
      <c r="N73" s="42">
        <f t="shared" si="2"/>
        <v>419776424</v>
      </c>
      <c r="O73" s="42">
        <f t="shared" si="2"/>
        <v>424316137</v>
      </c>
      <c r="P73" s="42">
        <f t="shared" si="2"/>
        <v>312862178</v>
      </c>
      <c r="Q73" s="42"/>
    </row>
    <row r="74" spans="1:17" ht="13.5" thickBot="1">
      <c r="A74" s="2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s="1" customFormat="1" ht="12.75">
      <c r="A75" s="18" t="s">
        <v>31</v>
      </c>
      <c r="B75" s="19" t="s">
        <v>32</v>
      </c>
      <c r="C75" s="20" t="s">
        <v>35</v>
      </c>
      <c r="D75" s="19" t="s">
        <v>65</v>
      </c>
      <c r="E75" s="21"/>
      <c r="F75" s="20"/>
      <c r="G75" s="22"/>
      <c r="H75" s="22"/>
      <c r="I75" s="22"/>
      <c r="J75" s="22" t="s">
        <v>63</v>
      </c>
      <c r="K75" s="22"/>
      <c r="L75" s="22"/>
      <c r="M75" s="22"/>
      <c r="N75" s="22"/>
      <c r="O75" s="22"/>
      <c r="P75" s="22"/>
      <c r="Q75" s="22"/>
    </row>
    <row r="76" spans="1:17" s="1" customFormat="1" ht="12.75">
      <c r="A76" s="23"/>
      <c r="B76" s="3" t="s">
        <v>33</v>
      </c>
      <c r="C76" s="7"/>
      <c r="D76" s="9" t="s">
        <v>46</v>
      </c>
      <c r="E76" s="10"/>
      <c r="F76" s="7"/>
      <c r="G76" s="4"/>
      <c r="H76" s="4"/>
      <c r="I76" s="4"/>
      <c r="J76" s="4"/>
      <c r="K76" s="4"/>
      <c r="L76" s="4"/>
      <c r="M76" s="4"/>
      <c r="N76" s="4"/>
      <c r="O76" s="4"/>
      <c r="P76" s="4"/>
      <c r="Q76" s="67" t="s">
        <v>88</v>
      </c>
    </row>
    <row r="77" spans="1:17" ht="13.5" thickBot="1">
      <c r="A77" s="24"/>
      <c r="B77" s="12" t="s">
        <v>34</v>
      </c>
      <c r="C77" s="13"/>
      <c r="D77" s="14" t="s">
        <v>47</v>
      </c>
      <c r="E77" s="14" t="s">
        <v>48</v>
      </c>
      <c r="F77" s="13"/>
      <c r="G77" s="97">
        <v>2001</v>
      </c>
      <c r="H77" s="97">
        <v>2002</v>
      </c>
      <c r="I77" s="97">
        <v>2003</v>
      </c>
      <c r="J77" s="97">
        <v>2004</v>
      </c>
      <c r="K77" s="97">
        <v>2005</v>
      </c>
      <c r="L77" s="97">
        <v>2006</v>
      </c>
      <c r="M77" s="97">
        <v>2007</v>
      </c>
      <c r="N77" s="97">
        <v>2008</v>
      </c>
      <c r="O77" s="97">
        <v>2009</v>
      </c>
      <c r="P77" s="97">
        <v>2010</v>
      </c>
      <c r="Q77" s="97" t="s">
        <v>87</v>
      </c>
    </row>
    <row r="78" spans="1:17" ht="13.5" thickTop="1">
      <c r="A78" s="25" t="s">
        <v>18</v>
      </c>
      <c r="B78" s="8"/>
      <c r="C78" s="8"/>
      <c r="D78" s="8"/>
      <c r="E78" s="8"/>
      <c r="F78" s="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2.75">
      <c r="A79" s="26" t="s">
        <v>19</v>
      </c>
      <c r="B79" s="6">
        <v>36096</v>
      </c>
      <c r="C79" s="5" t="s">
        <v>36</v>
      </c>
      <c r="D79" s="39">
        <f>SUM(G79:N79)</f>
        <v>1799600000.0000002</v>
      </c>
      <c r="E79" s="39"/>
      <c r="F79" s="5" t="s">
        <v>47</v>
      </c>
      <c r="G79" s="39">
        <f>5714286*B226</f>
        <v>128542863.57000001</v>
      </c>
      <c r="H79" s="39">
        <f>11428572*B226</f>
        <v>257085727.14000002</v>
      </c>
      <c r="I79" s="39">
        <f>11428572*B226</f>
        <v>257085727.14000002</v>
      </c>
      <c r="J79" s="39">
        <f>11428572*B226</f>
        <v>257085727.14000002</v>
      </c>
      <c r="K79" s="39">
        <f>11428572*B226</f>
        <v>257085727.14000002</v>
      </c>
      <c r="L79" s="39">
        <f>11428572*B226</f>
        <v>257085727.14000002</v>
      </c>
      <c r="M79" s="39">
        <f>11428572*B226</f>
        <v>257085727.14000002</v>
      </c>
      <c r="N79" s="39">
        <f>5714282*B226</f>
        <v>128542773.59</v>
      </c>
      <c r="O79" s="5"/>
      <c r="P79" s="39"/>
      <c r="Q79" s="39"/>
    </row>
    <row r="80" spans="1:17" ht="12.75">
      <c r="A80" s="26"/>
      <c r="B80" s="5"/>
      <c r="C80" s="5"/>
      <c r="D80" s="5"/>
      <c r="E80" s="39">
        <f>SUM(G80:N80)</f>
        <v>458897982.45390004</v>
      </c>
      <c r="F80" s="5" t="s">
        <v>48</v>
      </c>
      <c r="G80" s="39">
        <f>4800000*B226</f>
        <v>107976000</v>
      </c>
      <c r="H80" s="39">
        <f>4285714.26*B226</f>
        <v>96407142.2787</v>
      </c>
      <c r="I80" s="39">
        <f>3599999.94*B226</f>
        <v>80981998.6503</v>
      </c>
      <c r="J80" s="39">
        <f>2914285.62*B226</f>
        <v>65556855.021900006</v>
      </c>
      <c r="K80" s="39">
        <f>2228571.3*B226</f>
        <v>50131711.3935</v>
      </c>
      <c r="L80" s="39">
        <f>1542856.98*B226</f>
        <v>34706567.7651</v>
      </c>
      <c r="M80" s="39">
        <f>857142.66*B226</f>
        <v>19281424.1367</v>
      </c>
      <c r="N80" s="39">
        <f>171428.46*B226</f>
        <v>3856283.2077</v>
      </c>
      <c r="O80" s="5"/>
      <c r="P80" s="39"/>
      <c r="Q80" s="39"/>
    </row>
    <row r="81" spans="1:17" ht="12.75">
      <c r="A81" s="26" t="s">
        <v>19</v>
      </c>
      <c r="B81" s="6">
        <v>36300</v>
      </c>
      <c r="C81" s="5" t="s">
        <v>40</v>
      </c>
      <c r="D81" s="39">
        <f>SUM(H81:N81)</f>
        <v>1803836000</v>
      </c>
      <c r="E81" s="39"/>
      <c r="F81" s="5" t="s">
        <v>47</v>
      </c>
      <c r="G81" s="39"/>
      <c r="H81" s="39">
        <f>5857142*B229</f>
        <v>257690819.432</v>
      </c>
      <c r="I81" s="39">
        <f>5857142*B229</f>
        <v>257690819.432</v>
      </c>
      <c r="J81" s="39">
        <f>5857142*B229</f>
        <v>257690819.432</v>
      </c>
      <c r="K81" s="39">
        <f>5857142*B229</f>
        <v>257690819.432</v>
      </c>
      <c r="L81" s="39">
        <f>5857142*B229</f>
        <v>257690819.432</v>
      </c>
      <c r="M81" s="39">
        <f>5857142*B229</f>
        <v>257690819.432</v>
      </c>
      <c r="N81" s="39">
        <f>5857148*B229</f>
        <v>257691083.40800002</v>
      </c>
      <c r="O81" s="5"/>
      <c r="P81" s="39"/>
      <c r="Q81" s="39"/>
    </row>
    <row r="82" spans="1:17" ht="12.75">
      <c r="A82" s="26"/>
      <c r="B82" s="5"/>
      <c r="C82" s="5"/>
      <c r="D82" s="5"/>
      <c r="E82" s="66">
        <f>SUM(G82:N82)</f>
        <v>514093311.47532</v>
      </c>
      <c r="F82" s="5" t="s">
        <v>48</v>
      </c>
      <c r="G82" s="39">
        <f>2460000*B229</f>
        <v>108230160</v>
      </c>
      <c r="H82" s="39">
        <f>2372142.87*B229</f>
        <v>104364797.70852001</v>
      </c>
      <c r="I82" s="39">
        <f>2020714.35*B229</f>
        <v>88903348.5426</v>
      </c>
      <c r="J82" s="39">
        <f>1669285.83*B229</f>
        <v>73441899.37668</v>
      </c>
      <c r="K82" s="39">
        <f>1317857.31*B229</f>
        <v>57980450.210760005</v>
      </c>
      <c r="L82" s="39">
        <f>966428.79*B229</f>
        <v>42519001.04484</v>
      </c>
      <c r="M82" s="39">
        <f>615000.27*B229</f>
        <v>27057551.878920004</v>
      </c>
      <c r="N82" s="39">
        <f>263571.75*B229</f>
        <v>11596102.713000001</v>
      </c>
      <c r="O82" s="5"/>
      <c r="P82" s="39"/>
      <c r="Q82" s="39"/>
    </row>
    <row r="83" spans="1:17" ht="12.75">
      <c r="A83" s="65" t="s">
        <v>23</v>
      </c>
      <c r="B83" s="46">
        <v>36431</v>
      </c>
      <c r="C83" s="47" t="s">
        <v>40</v>
      </c>
      <c r="D83" s="48">
        <f>SUM(L83)</f>
        <v>5279520000</v>
      </c>
      <c r="E83" s="48"/>
      <c r="F83" s="47" t="s">
        <v>47</v>
      </c>
      <c r="G83" s="48"/>
      <c r="H83" s="48"/>
      <c r="I83" s="48"/>
      <c r="J83" s="48"/>
      <c r="K83" s="48"/>
      <c r="L83" s="48">
        <f>120000000*B229</f>
        <v>5279520000</v>
      </c>
      <c r="M83" s="5"/>
      <c r="N83" s="48"/>
      <c r="O83" s="39"/>
      <c r="P83" s="48"/>
      <c r="Q83" s="48"/>
    </row>
    <row r="84" spans="1:17" ht="12.75">
      <c r="A84" s="26"/>
      <c r="B84" s="5"/>
      <c r="C84" s="5"/>
      <c r="D84" s="5"/>
      <c r="E84" s="39">
        <f>SUM(G84:L84)</f>
        <v>2758549200</v>
      </c>
      <c r="F84" s="5" t="s">
        <v>48</v>
      </c>
      <c r="G84" s="39">
        <f>11400000*B229</f>
        <v>501554400</v>
      </c>
      <c r="H84" s="39">
        <f>11400000*B229</f>
        <v>501554400</v>
      </c>
      <c r="I84" s="39">
        <f>11400000*B229</f>
        <v>501554400</v>
      </c>
      <c r="J84" s="39">
        <f>11400000*B229</f>
        <v>501554400</v>
      </c>
      <c r="K84" s="39">
        <f>11400000*B229</f>
        <v>501554400</v>
      </c>
      <c r="L84" s="39">
        <f>5700000*B229</f>
        <v>250777200</v>
      </c>
      <c r="M84" s="5"/>
      <c r="N84" s="39"/>
      <c r="O84" s="39"/>
      <c r="P84" s="39"/>
      <c r="Q84" s="39"/>
    </row>
    <row r="85" spans="1:17" s="1" customFormat="1" ht="12.75">
      <c r="A85" s="5" t="s">
        <v>75</v>
      </c>
      <c r="B85" s="6">
        <v>36599</v>
      </c>
      <c r="C85" s="5" t="s">
        <v>40</v>
      </c>
      <c r="D85" s="39">
        <f>SUM(G85:M85)</f>
        <v>4399600000</v>
      </c>
      <c r="E85" s="5"/>
      <c r="F85" s="5" t="s">
        <v>47</v>
      </c>
      <c r="G85" s="39"/>
      <c r="H85" s="39">
        <f>28571428.57*B229</f>
        <v>1257028571.36572</v>
      </c>
      <c r="I85" s="39">
        <f>28571428.57*B229</f>
        <v>1257028571.36572</v>
      </c>
      <c r="J85" s="39">
        <f>28571428.57*B229</f>
        <v>1257028571.36572</v>
      </c>
      <c r="K85" s="39">
        <f>14285714.29*B229</f>
        <v>628514285.90284</v>
      </c>
      <c r="L85" s="39"/>
      <c r="M85" s="39"/>
      <c r="N85" s="5"/>
      <c r="O85" s="39"/>
      <c r="P85" s="39"/>
      <c r="Q85" s="39"/>
    </row>
    <row r="86" spans="1:17" s="1" customFormat="1" ht="12.75">
      <c r="A86" s="5"/>
      <c r="B86" s="5"/>
      <c r="C86" s="5"/>
      <c r="D86" s="5"/>
      <c r="E86" s="39">
        <f>SUM(G86:M86)</f>
        <v>976512170.8952001</v>
      </c>
      <c r="F86" s="5" t="s">
        <v>48</v>
      </c>
      <c r="G86" s="39">
        <f>7401388.89*B229</f>
        <v>325631505.60444</v>
      </c>
      <c r="H86" s="39">
        <f>6868373.02*B229</f>
        <v>302180939.38792</v>
      </c>
      <c r="I86" s="39">
        <f>4753690.48*B229</f>
        <v>209143366.35808003</v>
      </c>
      <c r="J86" s="39">
        <f>2647698.41*B229</f>
        <v>116488139.24636002</v>
      </c>
      <c r="K86" s="39">
        <f>524325.4*B229</f>
        <v>23068220.298400003</v>
      </c>
      <c r="L86" s="39"/>
      <c r="M86" s="39"/>
      <c r="N86" s="5"/>
      <c r="O86" s="39"/>
      <c r="P86" s="39"/>
      <c r="Q86" s="39"/>
    </row>
    <row r="87" spans="1:17" ht="12.75">
      <c r="A87" s="5" t="s">
        <v>76</v>
      </c>
      <c r="B87" s="6">
        <v>36711</v>
      </c>
      <c r="C87" s="5" t="s">
        <v>40</v>
      </c>
      <c r="D87" s="39">
        <f>SUM(G87:M87)</f>
        <v>1759840000</v>
      </c>
      <c r="E87" s="5"/>
      <c r="F87" s="5" t="s">
        <v>47</v>
      </c>
      <c r="G87" s="39"/>
      <c r="H87" s="39"/>
      <c r="I87" s="39">
        <f>12000000*B229</f>
        <v>527952000</v>
      </c>
      <c r="J87" s="39">
        <f>12000000*B229</f>
        <v>527952000</v>
      </c>
      <c r="K87" s="39">
        <f>16000000*B229</f>
        <v>703936000</v>
      </c>
      <c r="L87" s="39"/>
      <c r="M87" s="39"/>
      <c r="N87" s="5"/>
      <c r="O87" s="5"/>
      <c r="P87" s="5"/>
      <c r="Q87" s="5"/>
    </row>
    <row r="88" spans="1:17" ht="12.75">
      <c r="A88" s="5"/>
      <c r="B88" s="5"/>
      <c r="C88" s="5"/>
      <c r="D88" s="5"/>
      <c r="E88" s="39">
        <f>SUM(G88:Q88)</f>
        <v>468049686.16</v>
      </c>
      <c r="F88" s="5" t="s">
        <v>48</v>
      </c>
      <c r="G88" s="39">
        <f>3018000*B229</f>
        <v>132779928</v>
      </c>
      <c r="H88" s="39">
        <f>3018000*B229</f>
        <v>132779928</v>
      </c>
      <c r="I88" s="39">
        <f>2565300*B229</f>
        <v>112862938.80000001</v>
      </c>
      <c r="J88" s="39">
        <f>1660160*B229</f>
        <v>73040399.36</v>
      </c>
      <c r="K88" s="39">
        <f>377000*B229</f>
        <v>16586492</v>
      </c>
      <c r="L88" s="39"/>
      <c r="M88" s="39"/>
      <c r="N88" s="5"/>
      <c r="O88" s="5"/>
      <c r="P88" s="5"/>
      <c r="Q88" s="5"/>
    </row>
    <row r="89" spans="1:17" ht="12.75">
      <c r="A89" s="5" t="s">
        <v>19</v>
      </c>
      <c r="B89" s="6">
        <v>36732</v>
      </c>
      <c r="C89" s="5" t="s">
        <v>40</v>
      </c>
      <c r="D89" s="39">
        <f>SUM(G89:Q89)</f>
        <v>879919999.9999999</v>
      </c>
      <c r="E89" s="5"/>
      <c r="F89" s="5" t="s">
        <v>47</v>
      </c>
      <c r="G89" s="39">
        <f>1666666.67*B229</f>
        <v>73326666.81332</v>
      </c>
      <c r="H89" s="39">
        <f>3333333.34*B229</f>
        <v>146653333.62664</v>
      </c>
      <c r="I89" s="39">
        <f>3333333.34*B229</f>
        <v>146653333.62664</v>
      </c>
      <c r="J89" s="39">
        <f>3333333.34*B229</f>
        <v>146653333.62664</v>
      </c>
      <c r="K89" s="39">
        <f>3333333.34*B229</f>
        <v>146653333.62664</v>
      </c>
      <c r="L89" s="39">
        <f>3333333.34*B229</f>
        <v>146653333.62664</v>
      </c>
      <c r="M89" s="39">
        <f>1666666.63*B229</f>
        <v>73326665.05348</v>
      </c>
      <c r="N89" s="5"/>
      <c r="O89" s="5"/>
      <c r="P89" s="5"/>
      <c r="Q89" s="5"/>
    </row>
    <row r="90" spans="1:17" ht="12.75">
      <c r="A90" s="5"/>
      <c r="B90" s="5"/>
      <c r="C90" s="5"/>
      <c r="D90" s="5"/>
      <c r="E90" s="39">
        <f>SUM(G90:Q90)</f>
        <v>230293322.34000003</v>
      </c>
      <c r="F90" s="5" t="s">
        <v>48</v>
      </c>
      <c r="G90" s="39">
        <f>1489000*B229</f>
        <v>65510044</v>
      </c>
      <c r="H90" s="39">
        <f>1241082*B229</f>
        <v>54602643.672000006</v>
      </c>
      <c r="I90" s="39">
        <f>993163*B229</f>
        <v>43695199.348000005</v>
      </c>
      <c r="J90" s="39">
        <f>745245*B229</f>
        <v>32787799.020000003</v>
      </c>
      <c r="K90" s="39">
        <f>497326*B229</f>
        <v>21880354.696000002</v>
      </c>
      <c r="L90" s="39">
        <f>247919*B229</f>
        <v>10907444.324000001</v>
      </c>
      <c r="M90" s="39">
        <f>20680*B229</f>
        <v>909837.28</v>
      </c>
      <c r="N90" s="5"/>
      <c r="O90" s="5"/>
      <c r="P90" s="5"/>
      <c r="Q90" s="5"/>
    </row>
    <row r="91" spans="1:17" ht="12.75">
      <c r="A91" s="105" t="s">
        <v>82</v>
      </c>
      <c r="B91" s="72">
        <v>36804</v>
      </c>
      <c r="C91" s="8" t="s">
        <v>39</v>
      </c>
      <c r="D91" s="39">
        <f>SUM(G91:Q91)</f>
        <v>1700000000</v>
      </c>
      <c r="E91" s="38"/>
      <c r="F91" s="5" t="s">
        <v>47</v>
      </c>
      <c r="G91" s="38"/>
      <c r="H91" s="38">
        <v>242857142.86</v>
      </c>
      <c r="I91" s="38">
        <v>485714285.71</v>
      </c>
      <c r="J91" s="38">
        <v>485714285.71</v>
      </c>
      <c r="K91" s="38">
        <v>485714285.72</v>
      </c>
      <c r="L91" s="38"/>
      <c r="M91" s="38"/>
      <c r="N91" s="8"/>
      <c r="O91" s="8"/>
      <c r="P91" s="8"/>
      <c r="Q91" s="8"/>
    </row>
    <row r="92" spans="1:17" ht="12.75">
      <c r="A92" s="105"/>
      <c r="B92" s="8"/>
      <c r="C92" s="8"/>
      <c r="D92" s="8"/>
      <c r="E92" s="39">
        <f>SUM(G92:Q92)</f>
        <v>621280611.11</v>
      </c>
      <c r="F92" s="5" t="s">
        <v>48</v>
      </c>
      <c r="G92" s="38">
        <v>166826011.11</v>
      </c>
      <c r="H92" s="38">
        <v>181436566.67</v>
      </c>
      <c r="I92" s="38">
        <v>142619900</v>
      </c>
      <c r="J92" s="38">
        <v>91194900</v>
      </c>
      <c r="K92" s="38">
        <v>39203233.33</v>
      </c>
      <c r="L92" s="38"/>
      <c r="M92" s="38"/>
      <c r="N92" s="8"/>
      <c r="O92" s="8"/>
      <c r="P92" s="8"/>
      <c r="Q92" s="8"/>
    </row>
    <row r="93" spans="1:17" ht="12.75">
      <c r="A93" s="93" t="s">
        <v>54</v>
      </c>
      <c r="B93" s="11"/>
      <c r="C93" s="11"/>
      <c r="D93" s="11"/>
      <c r="E93" s="11"/>
      <c r="F93" s="11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1:17" ht="12.75">
      <c r="A94" s="26" t="s">
        <v>12</v>
      </c>
      <c r="B94" s="6">
        <v>34086</v>
      </c>
      <c r="C94" s="5" t="s">
        <v>40</v>
      </c>
      <c r="D94" s="39">
        <f>SUM(G94:N94)</f>
        <v>412462500</v>
      </c>
      <c r="E94" s="39"/>
      <c r="F94" s="5" t="s">
        <v>47</v>
      </c>
      <c r="G94" s="39">
        <f>1250000*B229</f>
        <v>54995000</v>
      </c>
      <c r="H94" s="39">
        <f>1250000*B229</f>
        <v>54995000</v>
      </c>
      <c r="I94" s="39">
        <f>1250000*B229</f>
        <v>54995000</v>
      </c>
      <c r="J94" s="39">
        <f>1250000*B229</f>
        <v>54995000</v>
      </c>
      <c r="K94" s="39">
        <f>1250000*B229</f>
        <v>54995000</v>
      </c>
      <c r="L94" s="39">
        <f>1250000*B229</f>
        <v>54995000</v>
      </c>
      <c r="M94" s="39">
        <f>1250000*B229</f>
        <v>54995000</v>
      </c>
      <c r="N94" s="39">
        <f>625000*B229</f>
        <v>27497500</v>
      </c>
      <c r="O94" s="5"/>
      <c r="P94" s="39"/>
      <c r="Q94" s="39"/>
    </row>
    <row r="95" spans="1:17" ht="12.75">
      <c r="A95" s="26"/>
      <c r="B95" s="5"/>
      <c r="C95" s="5"/>
      <c r="D95" s="5"/>
      <c r="E95" s="39">
        <f>SUM(G95:N95)</f>
        <v>131988000</v>
      </c>
      <c r="F95" s="5" t="s">
        <v>48</v>
      </c>
      <c r="G95" s="39">
        <f>725000*B229</f>
        <v>31897100</v>
      </c>
      <c r="H95" s="95">
        <f>625000*B229</f>
        <v>27497500</v>
      </c>
      <c r="I95" s="39">
        <f>525000*B229</f>
        <v>23097900</v>
      </c>
      <c r="J95" s="39">
        <f>425000*B229</f>
        <v>18698300</v>
      </c>
      <c r="K95" s="39">
        <f>325000*B229</f>
        <v>14298700</v>
      </c>
      <c r="L95" s="39">
        <f>225000*B229</f>
        <v>9899100</v>
      </c>
      <c r="M95" s="39">
        <f>125000*B229</f>
        <v>5499500</v>
      </c>
      <c r="N95" s="39">
        <f>25000*B229</f>
        <v>1099900</v>
      </c>
      <c r="P95" s="39"/>
      <c r="Q95" s="39"/>
    </row>
    <row r="96" spans="1:17" ht="12.75">
      <c r="A96" s="26" t="s">
        <v>28</v>
      </c>
      <c r="B96" s="6">
        <v>34086</v>
      </c>
      <c r="C96" s="5" t="s">
        <v>40</v>
      </c>
      <c r="D96" s="39">
        <f>SUM(G96:M96)</f>
        <v>285974000</v>
      </c>
      <c r="E96" s="5"/>
      <c r="F96" s="5" t="s">
        <v>47</v>
      </c>
      <c r="G96" s="39">
        <f>1000000*B229</f>
        <v>43996000</v>
      </c>
      <c r="H96" s="39">
        <f>1000000*B229</f>
        <v>43996000</v>
      </c>
      <c r="I96" s="39">
        <f>1000000*B229</f>
        <v>43996000</v>
      </c>
      <c r="J96" s="39">
        <f>1000000*B229</f>
        <v>43996000</v>
      </c>
      <c r="K96" s="39">
        <f>1000000*B229</f>
        <v>43996000</v>
      </c>
      <c r="L96" s="39">
        <f>1000000*B229</f>
        <v>43996000</v>
      </c>
      <c r="M96" s="39">
        <f>500000*B229</f>
        <v>21998000</v>
      </c>
      <c r="N96" s="5"/>
      <c r="O96" s="39"/>
      <c r="P96" s="39"/>
      <c r="Q96" s="39"/>
    </row>
    <row r="97" spans="1:17" ht="13.5" thickBot="1">
      <c r="A97" s="27"/>
      <c r="B97" s="14"/>
      <c r="C97" s="14"/>
      <c r="D97" s="14"/>
      <c r="E97" s="40">
        <f>SUM(G97:M97)</f>
        <v>60054540</v>
      </c>
      <c r="F97" s="14" t="s">
        <v>48</v>
      </c>
      <c r="G97" s="40">
        <f>375000*B229</f>
        <v>16498500</v>
      </c>
      <c r="H97" s="40">
        <f>315000*B229</f>
        <v>13858740</v>
      </c>
      <c r="I97" s="40">
        <f>255000*B229</f>
        <v>11218980</v>
      </c>
      <c r="J97" s="40">
        <f>195000*B229</f>
        <v>8579220</v>
      </c>
      <c r="K97" s="40">
        <f>135000*B229</f>
        <v>5939460</v>
      </c>
      <c r="L97" s="40">
        <f>75000*B229</f>
        <v>3299700</v>
      </c>
      <c r="M97" s="40">
        <f>15000*B229</f>
        <v>659940</v>
      </c>
      <c r="N97" s="14"/>
      <c r="O97" s="40"/>
      <c r="P97" s="40"/>
      <c r="Q97" s="40"/>
    </row>
    <row r="98" spans="1:17" s="2" customFormat="1" ht="14.25" thickBot="1" thickTop="1">
      <c r="A98" s="31" t="s">
        <v>8</v>
      </c>
      <c r="B98" s="32"/>
      <c r="C98" s="32"/>
      <c r="D98" s="42">
        <f>SUM(D79:D97)</f>
        <v>18320752500</v>
      </c>
      <c r="E98" s="42">
        <f>SUM(E79:E97)</f>
        <v>6219718824.43442</v>
      </c>
      <c r="F98" s="32"/>
      <c r="G98" s="42">
        <f aca="true" t="shared" si="3" ref="G98:N98">SUM(G79:G97)</f>
        <v>1757764179.0977597</v>
      </c>
      <c r="H98" s="42">
        <f t="shared" si="3"/>
        <v>3674989252.1415</v>
      </c>
      <c r="I98" s="42">
        <f t="shared" si="3"/>
        <v>4245193768.97334</v>
      </c>
      <c r="J98" s="42">
        <f t="shared" si="3"/>
        <v>4012457649.2992997</v>
      </c>
      <c r="K98" s="42">
        <f t="shared" si="3"/>
        <v>3309228473.75014</v>
      </c>
      <c r="L98" s="42">
        <f t="shared" si="3"/>
        <v>6392049893.332581</v>
      </c>
      <c r="M98" s="42">
        <f t="shared" si="3"/>
        <v>718504464.9211</v>
      </c>
      <c r="N98" s="42">
        <f t="shared" si="3"/>
        <v>430283642.91870004</v>
      </c>
      <c r="O98" s="42"/>
      <c r="P98" s="42"/>
      <c r="Q98" s="42"/>
    </row>
    <row r="99" spans="1:17" ht="13.5" thickBot="1">
      <c r="A99" s="2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s="1" customFormat="1" ht="12.75">
      <c r="A100" s="18" t="s">
        <v>31</v>
      </c>
      <c r="B100" s="19" t="s">
        <v>32</v>
      </c>
      <c r="C100" s="20" t="s">
        <v>35</v>
      </c>
      <c r="D100" s="19" t="s">
        <v>65</v>
      </c>
      <c r="E100" s="21"/>
      <c r="F100" s="20"/>
      <c r="G100" s="22"/>
      <c r="H100" s="22"/>
      <c r="I100" s="22"/>
      <c r="J100" s="22" t="s">
        <v>63</v>
      </c>
      <c r="K100" s="22"/>
      <c r="L100" s="22"/>
      <c r="M100" s="22"/>
      <c r="N100" s="22"/>
      <c r="O100" s="22"/>
      <c r="P100" s="22"/>
      <c r="Q100" s="22"/>
    </row>
    <row r="101" spans="1:17" s="1" customFormat="1" ht="12.75">
      <c r="A101" s="23"/>
      <c r="B101" s="3" t="s">
        <v>33</v>
      </c>
      <c r="C101" s="7"/>
      <c r="D101" s="9" t="s">
        <v>46</v>
      </c>
      <c r="E101" s="10"/>
      <c r="F101" s="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67" t="s">
        <v>88</v>
      </c>
    </row>
    <row r="102" spans="1:17" ht="13.5" thickBot="1">
      <c r="A102" s="24"/>
      <c r="B102" s="12" t="s">
        <v>34</v>
      </c>
      <c r="C102" s="13"/>
      <c r="D102" s="14" t="s">
        <v>47</v>
      </c>
      <c r="E102" s="14" t="s">
        <v>48</v>
      </c>
      <c r="F102" s="13"/>
      <c r="G102" s="97">
        <v>2001</v>
      </c>
      <c r="H102" s="97">
        <v>2002</v>
      </c>
      <c r="I102" s="97">
        <v>2003</v>
      </c>
      <c r="J102" s="97">
        <v>2004</v>
      </c>
      <c r="K102" s="97">
        <v>2005</v>
      </c>
      <c r="L102" s="97">
        <v>2006</v>
      </c>
      <c r="M102" s="97">
        <v>2007</v>
      </c>
      <c r="N102" s="97">
        <v>2008</v>
      </c>
      <c r="O102" s="97">
        <v>2009</v>
      </c>
      <c r="P102" s="97">
        <v>2010</v>
      </c>
      <c r="Q102" s="97" t="s">
        <v>87</v>
      </c>
    </row>
    <row r="103" spans="1:17" ht="13.5" thickTop="1">
      <c r="A103" s="25" t="s">
        <v>24</v>
      </c>
      <c r="B103" s="8"/>
      <c r="C103" s="8"/>
      <c r="D103" s="8"/>
      <c r="E103" s="8"/>
      <c r="F103" s="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ht="12.75">
      <c r="A104" s="26" t="s">
        <v>25</v>
      </c>
      <c r="B104" s="6">
        <v>35786</v>
      </c>
      <c r="C104" s="5" t="s">
        <v>38</v>
      </c>
      <c r="D104" s="39">
        <f>SUM(G104:H104)</f>
        <v>5118012000</v>
      </c>
      <c r="E104" s="5"/>
      <c r="F104" s="5" t="s">
        <v>47</v>
      </c>
      <c r="G104" s="39">
        <f>54000000*B227</f>
        <v>2559006000</v>
      </c>
      <c r="H104" s="39">
        <f>54000000*B227</f>
        <v>2559006000</v>
      </c>
      <c r="I104" s="5"/>
      <c r="J104" s="39"/>
      <c r="K104" s="39"/>
      <c r="L104" s="39"/>
      <c r="M104" s="39"/>
      <c r="N104" s="39"/>
      <c r="O104" s="39"/>
      <c r="P104" s="39"/>
      <c r="Q104" s="39"/>
    </row>
    <row r="105" spans="1:17" ht="12.75">
      <c r="A105" s="26"/>
      <c r="B105" s="5"/>
      <c r="C105" s="5"/>
      <c r="D105" s="5"/>
      <c r="E105" s="39">
        <f>SUM(G105:H105)</f>
        <v>440211231.48416996</v>
      </c>
      <c r="F105" s="5" t="s">
        <v>48</v>
      </c>
      <c r="G105" s="39">
        <f>6358640.64*B227</f>
        <v>301329621.28896</v>
      </c>
      <c r="H105" s="39">
        <f>2930671.89*B227</f>
        <v>138881610.19521</v>
      </c>
      <c r="I105" s="5"/>
      <c r="J105" s="39"/>
      <c r="K105" s="39"/>
      <c r="L105" s="39"/>
      <c r="M105" s="39"/>
      <c r="N105" s="39"/>
      <c r="O105" s="39"/>
      <c r="P105" s="39"/>
      <c r="Q105" s="39"/>
    </row>
    <row r="106" spans="1:17" ht="12.75">
      <c r="A106" s="26" t="s">
        <v>28</v>
      </c>
      <c r="B106" s="6">
        <v>36364</v>
      </c>
      <c r="C106" s="5" t="s">
        <v>40</v>
      </c>
      <c r="D106" s="59"/>
      <c r="E106" s="5"/>
      <c r="F106" s="5" t="s">
        <v>47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2.75">
      <c r="A107" s="26" t="s">
        <v>28</v>
      </c>
      <c r="B107" s="6">
        <v>36623</v>
      </c>
      <c r="C107" s="5" t="s">
        <v>40</v>
      </c>
      <c r="D107" s="59">
        <f>SUM(J107:Q107)</f>
        <v>6159440000</v>
      </c>
      <c r="E107" s="5"/>
      <c r="F107" s="5" t="s">
        <v>47</v>
      </c>
      <c r="G107" s="39"/>
      <c r="H107" s="39"/>
      <c r="I107" s="39"/>
      <c r="J107" s="39">
        <f>7000000*B229</f>
        <v>307972000</v>
      </c>
      <c r="K107" s="39">
        <f>14000000*B229</f>
        <v>615944000</v>
      </c>
      <c r="L107" s="39">
        <f>14000000*B229</f>
        <v>615944000</v>
      </c>
      <c r="M107" s="39">
        <f>14000000*B229</f>
        <v>615944000</v>
      </c>
      <c r="N107" s="39">
        <f>14000000*B229</f>
        <v>615944000</v>
      </c>
      <c r="O107" s="39">
        <f>14000000*B229</f>
        <v>615944000</v>
      </c>
      <c r="P107" s="39">
        <f>14000000*B229</f>
        <v>615944000</v>
      </c>
      <c r="Q107" s="39">
        <f>49000000*B229</f>
        <v>2155804000</v>
      </c>
    </row>
    <row r="108" spans="1:17" ht="12.75">
      <c r="A108" s="26"/>
      <c r="B108" s="5"/>
      <c r="C108" s="5"/>
      <c r="D108" s="5"/>
      <c r="E108" s="59">
        <f>SUM(G108:Q108)</f>
        <v>2774879879.4578</v>
      </c>
      <c r="F108" s="5" t="s">
        <v>48</v>
      </c>
      <c r="G108" s="39">
        <f>7207722.22*B229</f>
        <v>317110946.79112</v>
      </c>
      <c r="H108" s="39">
        <f>7207722.22*B229</f>
        <v>317110946.79112</v>
      </c>
      <c r="I108" s="39">
        <f>7207722.22*B229</f>
        <v>317110946.79112</v>
      </c>
      <c r="J108" s="39">
        <f>7210866.67*B229</f>
        <v>317249290.01332</v>
      </c>
      <c r="K108" s="39">
        <f>6666907.22*B229</f>
        <v>293317250.05112</v>
      </c>
      <c r="L108" s="39">
        <f>5946135*B229</f>
        <v>261606155.46</v>
      </c>
      <c r="M108" s="39">
        <f>5225362.77*B229</f>
        <v>229895060.42892</v>
      </c>
      <c r="N108" s="39">
        <f>4506634.45*B229</f>
        <v>198273889.26220003</v>
      </c>
      <c r="O108" s="39">
        <f>3783818.33*B229</f>
        <v>166472871.24668002</v>
      </c>
      <c r="P108" s="39">
        <f>3063046.11*B229</f>
        <v>134761776.65556</v>
      </c>
      <c r="Q108" s="39">
        <f>5045248.34*B229</f>
        <v>221970745.96664</v>
      </c>
    </row>
    <row r="109" spans="1:17" ht="12.75">
      <c r="A109" s="26" t="s">
        <v>81</v>
      </c>
      <c r="B109" s="6">
        <v>36600</v>
      </c>
      <c r="C109" s="5" t="s">
        <v>40</v>
      </c>
      <c r="D109" s="59">
        <f>SUM(G109:Q109)</f>
        <v>1979820000</v>
      </c>
      <c r="E109" s="5"/>
      <c r="F109" s="5" t="s">
        <v>47</v>
      </c>
      <c r="G109" s="39"/>
      <c r="H109" s="39">
        <f>7500000*B229</f>
        <v>329970000</v>
      </c>
      <c r="I109" s="39">
        <f>15000000*B229</f>
        <v>659940000</v>
      </c>
      <c r="J109" s="39">
        <f>15000000*B229</f>
        <v>659940000</v>
      </c>
      <c r="K109" s="39">
        <f>7500000*B229</f>
        <v>329970000</v>
      </c>
      <c r="L109" s="39"/>
      <c r="M109" s="39"/>
      <c r="N109" s="5"/>
      <c r="O109" s="39"/>
      <c r="P109" s="39"/>
      <c r="Q109" s="39"/>
    </row>
    <row r="110" spans="1:17" ht="12.75">
      <c r="A110" s="26"/>
      <c r="B110" s="5"/>
      <c r="C110" s="5"/>
      <c r="D110" s="5"/>
      <c r="E110" s="39">
        <f>SUM(G110:Q110)</f>
        <v>462902530.32580006</v>
      </c>
      <c r="F110" s="5" t="s">
        <v>48</v>
      </c>
      <c r="G110" s="39">
        <f>3279068.75*B229</f>
        <v>144265908.725</v>
      </c>
      <c r="H110" s="39">
        <f>3279068.75*B229</f>
        <v>144265908.725</v>
      </c>
      <c r="I110" s="39">
        <f>2458552.92*B229</f>
        <v>108166494.26832001</v>
      </c>
      <c r="J110" s="39">
        <f>1370021.88*B229</f>
        <v>60275482.632479995</v>
      </c>
      <c r="K110" s="39">
        <f>134756.25*B229</f>
        <v>5928735.975000001</v>
      </c>
      <c r="L110" s="39"/>
      <c r="M110" s="39"/>
      <c r="N110" s="5"/>
      <c r="O110" s="39"/>
      <c r="P110" s="39"/>
      <c r="Q110" s="39"/>
    </row>
    <row r="111" spans="1:17" ht="12.75">
      <c r="A111" s="26" t="s">
        <v>77</v>
      </c>
      <c r="B111" s="6">
        <v>36672</v>
      </c>
      <c r="C111" s="5" t="s">
        <v>40</v>
      </c>
      <c r="D111" s="59">
        <f>155000000*B229</f>
        <v>6819380000</v>
      </c>
      <c r="E111" s="5"/>
      <c r="F111" s="5" t="s">
        <v>47</v>
      </c>
      <c r="G111" s="39"/>
      <c r="H111" s="39"/>
      <c r="I111" s="39"/>
      <c r="J111" s="39"/>
      <c r="K111" s="39"/>
      <c r="L111" s="39"/>
      <c r="M111" s="59">
        <f>155000000*B229</f>
        <v>6819380000</v>
      </c>
      <c r="N111" s="39"/>
      <c r="O111" s="39"/>
      <c r="P111" s="39"/>
      <c r="Q111" s="39"/>
    </row>
    <row r="112" spans="1:17" ht="12.75">
      <c r="A112" s="26"/>
      <c r="B112" s="5"/>
      <c r="C112" s="5"/>
      <c r="D112" s="5"/>
      <c r="E112" s="59">
        <f>SUM(G112:Q112)</f>
        <v>3818852800</v>
      </c>
      <c r="F112" s="5" t="s">
        <v>48</v>
      </c>
      <c r="G112" s="39">
        <f>12400000*B229</f>
        <v>545550400</v>
      </c>
      <c r="H112" s="39">
        <f>12400000*B229</f>
        <v>545550400</v>
      </c>
      <c r="I112" s="39">
        <f>12400000*B229</f>
        <v>545550400</v>
      </c>
      <c r="J112" s="39">
        <f>12400000*B229</f>
        <v>545550400</v>
      </c>
      <c r="K112" s="39">
        <f>12400000*B229</f>
        <v>545550400</v>
      </c>
      <c r="L112" s="39">
        <f>12400000*B229</f>
        <v>545550400</v>
      </c>
      <c r="M112" s="39">
        <f>12400000*B229</f>
        <v>545550400</v>
      </c>
      <c r="N112" s="39"/>
      <c r="O112" s="39"/>
      <c r="P112" s="39"/>
      <c r="Q112" s="39"/>
    </row>
    <row r="113" spans="1:17" ht="12.75">
      <c r="A113" s="69" t="s">
        <v>77</v>
      </c>
      <c r="B113" s="104">
        <v>36795</v>
      </c>
      <c r="C113" s="70" t="s">
        <v>40</v>
      </c>
      <c r="D113" s="59">
        <f>45000000*B229</f>
        <v>1979820000</v>
      </c>
      <c r="E113" s="71"/>
      <c r="F113" s="5" t="s">
        <v>47</v>
      </c>
      <c r="G113" s="39"/>
      <c r="H113" s="39"/>
      <c r="I113" s="39"/>
      <c r="J113" s="39"/>
      <c r="K113" s="39"/>
      <c r="L113" s="39"/>
      <c r="M113" s="39">
        <f>45000000*B229</f>
        <v>1979820000</v>
      </c>
      <c r="N113" s="39"/>
      <c r="O113" s="39"/>
      <c r="P113" s="39"/>
      <c r="Q113" s="39"/>
    </row>
    <row r="114" spans="1:17" ht="12.75">
      <c r="A114" s="5"/>
      <c r="B114" s="5"/>
      <c r="C114" s="5"/>
      <c r="D114" s="5"/>
      <c r="E114" s="59">
        <f>SUM(G114:Q114)</f>
        <v>1108699200</v>
      </c>
      <c r="F114" s="5" t="s">
        <v>48</v>
      </c>
      <c r="G114" s="39">
        <f>3600000*B229</f>
        <v>158385600</v>
      </c>
      <c r="H114" s="39">
        <f>3600000*B229</f>
        <v>158385600</v>
      </c>
      <c r="I114" s="39">
        <f>3600000*B229</f>
        <v>158385600</v>
      </c>
      <c r="J114" s="39">
        <f>3600000*B229</f>
        <v>158385600</v>
      </c>
      <c r="K114" s="39">
        <f>3600000*B229</f>
        <v>158385600</v>
      </c>
      <c r="L114" s="39">
        <f>3600000*B229</f>
        <v>158385600</v>
      </c>
      <c r="M114" s="39">
        <f>3600000*B229</f>
        <v>158385600</v>
      </c>
      <c r="N114" s="39"/>
      <c r="O114" s="39"/>
      <c r="P114" s="39"/>
      <c r="Q114" s="39"/>
    </row>
    <row r="115" spans="1:17" ht="12.75">
      <c r="A115" s="5" t="s">
        <v>28</v>
      </c>
      <c r="B115" s="6">
        <v>36882</v>
      </c>
      <c r="C115" s="5" t="s">
        <v>40</v>
      </c>
      <c r="D115" s="39">
        <f>60000000*B229</f>
        <v>2639760000</v>
      </c>
      <c r="E115" s="39"/>
      <c r="F115" s="5" t="s">
        <v>47</v>
      </c>
      <c r="G115" s="39"/>
      <c r="H115" s="39"/>
      <c r="I115" s="39"/>
      <c r="J115" s="39"/>
      <c r="K115" s="39">
        <f>6000000*B229</f>
        <v>263976000</v>
      </c>
      <c r="L115" s="39">
        <f>6000000*B229</f>
        <v>263976000</v>
      </c>
      <c r="M115" s="39">
        <f>6000000*B229</f>
        <v>263976000</v>
      </c>
      <c r="N115" s="39">
        <f>6000000*B229</f>
        <v>263976000</v>
      </c>
      <c r="O115" s="39">
        <f>6000000*B229</f>
        <v>263976000</v>
      </c>
      <c r="P115" s="39">
        <f>6000000*B229</f>
        <v>263976000</v>
      </c>
      <c r="Q115" s="39">
        <f>24000000*B229</f>
        <v>1055904000</v>
      </c>
    </row>
    <row r="116" spans="1:17" ht="13.5" thickBot="1">
      <c r="A116" s="14"/>
      <c r="B116" s="14"/>
      <c r="C116" s="14"/>
      <c r="D116" s="14"/>
      <c r="E116" s="73">
        <f>SUM(G116:Q116)</f>
        <v>1379274600</v>
      </c>
      <c r="F116" s="14" t="s">
        <v>48</v>
      </c>
      <c r="G116" s="40">
        <f>3300000*B229</f>
        <v>145186800</v>
      </c>
      <c r="H116" s="40">
        <f>3300000*B229</f>
        <v>145186800</v>
      </c>
      <c r="I116" s="40">
        <f>3300000*B229</f>
        <v>145186800</v>
      </c>
      <c r="J116" s="40">
        <f>3300000*B229</f>
        <v>145186800</v>
      </c>
      <c r="K116" s="40">
        <f>3300000*B229</f>
        <v>145186800</v>
      </c>
      <c r="L116" s="40">
        <f>2970000*B229</f>
        <v>130668120</v>
      </c>
      <c r="M116" s="40">
        <f>2640000*B229</f>
        <v>116149440</v>
      </c>
      <c r="N116" s="40">
        <f>2310000*B229</f>
        <v>101630760</v>
      </c>
      <c r="O116" s="40">
        <f>1980000*B229</f>
        <v>87112080</v>
      </c>
      <c r="P116" s="40">
        <f>1650000*B229</f>
        <v>72593400</v>
      </c>
      <c r="Q116" s="40">
        <f>3300000*B229</f>
        <v>145186800</v>
      </c>
    </row>
    <row r="117" spans="1:17" s="2" customFormat="1" ht="14.25" thickBot="1" thickTop="1">
      <c r="A117" s="31" t="s">
        <v>8</v>
      </c>
      <c r="B117" s="32"/>
      <c r="C117" s="32"/>
      <c r="D117" s="42">
        <f>SUM(D104:D116)</f>
        <v>24696232000</v>
      </c>
      <c r="E117" s="42">
        <f>SUM(E104:E116)</f>
        <v>9984820241.267769</v>
      </c>
      <c r="F117" s="33"/>
      <c r="G117" s="42">
        <f aca="true" t="shared" si="4" ref="G117:Q117">SUM(G104:G116)</f>
        <v>4170835276.80508</v>
      </c>
      <c r="H117" s="42">
        <f t="shared" si="4"/>
        <v>4338357265.71133</v>
      </c>
      <c r="I117" s="42">
        <f t="shared" si="4"/>
        <v>1934340241.0594401</v>
      </c>
      <c r="J117" s="42">
        <f t="shared" si="4"/>
        <v>2194559572.6457996</v>
      </c>
      <c r="K117" s="42">
        <f t="shared" si="4"/>
        <v>2358258786.02612</v>
      </c>
      <c r="L117" s="42">
        <f t="shared" si="4"/>
        <v>1976130275.46</v>
      </c>
      <c r="M117" s="42">
        <f t="shared" si="4"/>
        <v>10729100500.42892</v>
      </c>
      <c r="N117" s="42">
        <f t="shared" si="4"/>
        <v>1179824649.2621999</v>
      </c>
      <c r="O117" s="42">
        <f t="shared" si="4"/>
        <v>1133504951.24668</v>
      </c>
      <c r="P117" s="42">
        <f t="shared" si="4"/>
        <v>1087275176.65556</v>
      </c>
      <c r="Q117" s="42">
        <f t="shared" si="4"/>
        <v>3578865545.96664</v>
      </c>
    </row>
    <row r="118" spans="1:17" ht="13.5" thickBot="1">
      <c r="A118" s="29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1" customFormat="1" ht="12.75">
      <c r="A119" s="18" t="s">
        <v>31</v>
      </c>
      <c r="B119" s="19" t="s">
        <v>32</v>
      </c>
      <c r="C119" s="20" t="s">
        <v>35</v>
      </c>
      <c r="D119" s="19" t="s">
        <v>65</v>
      </c>
      <c r="E119" s="21"/>
      <c r="F119" s="20"/>
      <c r="G119" s="22"/>
      <c r="H119" s="22"/>
      <c r="I119" s="22"/>
      <c r="J119" s="22" t="s">
        <v>63</v>
      </c>
      <c r="K119" s="22"/>
      <c r="L119" s="22"/>
      <c r="M119" s="22"/>
      <c r="N119" s="22"/>
      <c r="O119" s="22"/>
      <c r="P119" s="22"/>
      <c r="Q119" s="22"/>
    </row>
    <row r="120" spans="1:17" s="1" customFormat="1" ht="12.75">
      <c r="A120" s="23"/>
      <c r="B120" s="3" t="s">
        <v>33</v>
      </c>
      <c r="C120" s="7"/>
      <c r="D120" s="9" t="s">
        <v>46</v>
      </c>
      <c r="E120" s="10"/>
      <c r="F120" s="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67" t="s">
        <v>88</v>
      </c>
    </row>
    <row r="121" spans="1:17" ht="13.5" thickBot="1">
      <c r="A121" s="24"/>
      <c r="B121" s="12" t="s">
        <v>34</v>
      </c>
      <c r="C121" s="13"/>
      <c r="D121" s="14" t="s">
        <v>47</v>
      </c>
      <c r="E121" s="14" t="s">
        <v>48</v>
      </c>
      <c r="F121" s="13"/>
      <c r="G121" s="97">
        <v>2001</v>
      </c>
      <c r="H121" s="97">
        <v>2002</v>
      </c>
      <c r="I121" s="97">
        <v>2003</v>
      </c>
      <c r="J121" s="97">
        <v>2004</v>
      </c>
      <c r="K121" s="97">
        <v>2005</v>
      </c>
      <c r="L121" s="97">
        <v>2006</v>
      </c>
      <c r="M121" s="97">
        <v>2007</v>
      </c>
      <c r="N121" s="97">
        <v>2008</v>
      </c>
      <c r="O121" s="97">
        <v>2009</v>
      </c>
      <c r="P121" s="97">
        <v>2010</v>
      </c>
      <c r="Q121" s="97" t="s">
        <v>87</v>
      </c>
    </row>
    <row r="122" spans="1:17" ht="13.5" thickTop="1">
      <c r="A122" s="25" t="s">
        <v>29</v>
      </c>
      <c r="B122" s="8"/>
      <c r="C122" s="8"/>
      <c r="D122" s="8"/>
      <c r="E122" s="8"/>
      <c r="F122" s="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 ht="12.75">
      <c r="A123" s="26" t="s">
        <v>30</v>
      </c>
      <c r="B123" s="6">
        <v>33581</v>
      </c>
      <c r="C123" s="5" t="s">
        <v>38</v>
      </c>
      <c r="D123" s="39">
        <f>SUM(G123:G123)</f>
        <v>784140313.83551</v>
      </c>
      <c r="E123" s="5"/>
      <c r="F123" s="5" t="s">
        <v>47</v>
      </c>
      <c r="G123" s="39">
        <f>16546884.59*B227</f>
        <v>784140313.83551</v>
      </c>
      <c r="H123" s="5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2.75">
      <c r="A124" s="26"/>
      <c r="B124" s="5"/>
      <c r="C124" s="5"/>
      <c r="D124" s="5"/>
      <c r="E124" s="39">
        <f>SUM(G124:G124)</f>
        <v>47360441.49304</v>
      </c>
      <c r="F124" s="5" t="s">
        <v>48</v>
      </c>
      <c r="G124" s="39">
        <f>999397.36*B227</f>
        <v>47360441.49304</v>
      </c>
      <c r="H124" s="5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1:17" s="2" customFormat="1" ht="13.5" thickBot="1">
      <c r="A125" s="91" t="s">
        <v>8</v>
      </c>
      <c r="B125" s="80"/>
      <c r="C125" s="80"/>
      <c r="D125" s="84">
        <f>SUM(D123:D124)</f>
        <v>784140313.83551</v>
      </c>
      <c r="E125" s="84">
        <f>SUM(E123:E124)</f>
        <v>47360441.49304</v>
      </c>
      <c r="F125" s="80"/>
      <c r="G125" s="84">
        <f>SUM(G123:G124)</f>
        <v>831500755.32855</v>
      </c>
      <c r="H125" s="84">
        <f>SUM(H123:H124)</f>
        <v>0</v>
      </c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1:17" s="2" customFormat="1" ht="15" thickTop="1">
      <c r="A126" s="83" t="s">
        <v>73</v>
      </c>
      <c r="B126" s="101"/>
      <c r="C126" s="101"/>
      <c r="D126" s="102"/>
      <c r="E126" s="102"/>
      <c r="F126" s="101"/>
      <c r="G126" s="102"/>
      <c r="H126" s="102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s="2" customFormat="1" ht="12.75">
      <c r="A127" s="90"/>
      <c r="B127" s="78">
        <v>36724</v>
      </c>
      <c r="C127" s="77" t="s">
        <v>39</v>
      </c>
      <c r="D127" s="39">
        <f>SUM(G127:H127)</f>
        <v>300000000</v>
      </c>
      <c r="E127" s="79"/>
      <c r="F127" s="5" t="s">
        <v>47</v>
      </c>
      <c r="G127" s="79">
        <v>60000000</v>
      </c>
      <c r="H127" s="79">
        <v>240000000</v>
      </c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1:17" s="2" customFormat="1" ht="12.75">
      <c r="A128" s="90"/>
      <c r="B128" s="90"/>
      <c r="C128" s="90"/>
      <c r="D128" s="79"/>
      <c r="E128" s="39">
        <f>SUM(G128:H128)</f>
        <v>65000000</v>
      </c>
      <c r="F128" s="5" t="s">
        <v>48</v>
      </c>
      <c r="G128" s="79">
        <v>32500000</v>
      </c>
      <c r="H128" s="79">
        <v>32500000</v>
      </c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1:17" ht="13.5" thickBot="1">
      <c r="A129" s="99" t="s">
        <v>8</v>
      </c>
      <c r="B129" s="98"/>
      <c r="C129" s="14"/>
      <c r="D129" s="100">
        <f>SUM(D127:D128)</f>
        <v>300000000</v>
      </c>
      <c r="E129" s="100">
        <f>SUM(E127:E128)</f>
        <v>65000000</v>
      </c>
      <c r="F129" s="13"/>
      <c r="G129" s="100">
        <f>SUM(G127:G128)</f>
        <v>92500000</v>
      </c>
      <c r="H129" s="100">
        <f>SUM(H127:H128)</f>
        <v>272500000</v>
      </c>
      <c r="I129" s="84"/>
      <c r="J129" s="84"/>
      <c r="K129" s="84"/>
      <c r="L129" s="84"/>
      <c r="M129" s="84"/>
      <c r="N129" s="84"/>
      <c r="O129" s="84"/>
      <c r="P129" s="84"/>
      <c r="Q129" s="84"/>
    </row>
    <row r="130" spans="1:17" s="1" customFormat="1" ht="13.5" thickTop="1">
      <c r="A130" s="23" t="s">
        <v>31</v>
      </c>
      <c r="B130" s="3" t="s">
        <v>32</v>
      </c>
      <c r="C130" s="7" t="s">
        <v>35</v>
      </c>
      <c r="D130" s="19" t="s">
        <v>65</v>
      </c>
      <c r="E130" s="21"/>
      <c r="F130" s="7"/>
      <c r="G130" s="22"/>
      <c r="H130" s="22"/>
      <c r="I130" s="22"/>
      <c r="J130" s="22" t="s">
        <v>63</v>
      </c>
      <c r="K130" s="22"/>
      <c r="L130" s="22"/>
      <c r="M130" s="22"/>
      <c r="N130" s="22"/>
      <c r="O130" s="22"/>
      <c r="P130" s="22"/>
      <c r="Q130" s="22"/>
    </row>
    <row r="131" spans="1:17" s="1" customFormat="1" ht="12.75">
      <c r="A131" s="23"/>
      <c r="B131" s="3" t="s">
        <v>33</v>
      </c>
      <c r="C131" s="7"/>
      <c r="D131" s="9" t="s">
        <v>46</v>
      </c>
      <c r="E131" s="10"/>
      <c r="F131" s="7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67" t="s">
        <v>88</v>
      </c>
    </row>
    <row r="132" spans="1:17" ht="13.5" thickBot="1">
      <c r="A132" s="24"/>
      <c r="B132" s="12" t="s">
        <v>34</v>
      </c>
      <c r="C132" s="13"/>
      <c r="D132" s="14" t="s">
        <v>47</v>
      </c>
      <c r="E132" s="14" t="s">
        <v>48</v>
      </c>
      <c r="F132" s="13"/>
      <c r="G132" s="97">
        <v>2001</v>
      </c>
      <c r="H132" s="97">
        <v>2002</v>
      </c>
      <c r="I132" s="97">
        <v>2003</v>
      </c>
      <c r="J132" s="97">
        <v>2004</v>
      </c>
      <c r="K132" s="97">
        <v>2005</v>
      </c>
      <c r="L132" s="97">
        <v>2006</v>
      </c>
      <c r="M132" s="97">
        <v>2007</v>
      </c>
      <c r="N132" s="97">
        <v>2008</v>
      </c>
      <c r="O132" s="97">
        <v>2009</v>
      </c>
      <c r="P132" s="97">
        <v>2010</v>
      </c>
      <c r="Q132" s="97" t="s">
        <v>87</v>
      </c>
    </row>
    <row r="133" spans="1:17" s="1" customFormat="1" ht="13.5" thickTop="1">
      <c r="A133" s="25" t="s">
        <v>49</v>
      </c>
      <c r="B133" s="11"/>
      <c r="C133" s="11"/>
      <c r="D133" s="11"/>
      <c r="E133" s="11"/>
      <c r="F133" s="11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1:17" ht="12.75">
      <c r="A134" s="26" t="s">
        <v>50</v>
      </c>
      <c r="B134" s="6">
        <v>33646</v>
      </c>
      <c r="C134" s="5" t="s">
        <v>38</v>
      </c>
      <c r="D134" s="39">
        <f>SUM(G134:Q134)</f>
        <v>1916088658.4255102</v>
      </c>
      <c r="E134" s="39"/>
      <c r="F134" s="5" t="s">
        <v>47</v>
      </c>
      <c r="G134" s="39">
        <f>40433194.59*B227</f>
        <v>1916088658.4255102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1:17" ht="12.75">
      <c r="A135" s="26"/>
      <c r="B135" s="5"/>
      <c r="C135" s="5"/>
      <c r="D135" s="5"/>
      <c r="E135" s="39">
        <f>SUM(G135:Q135)</f>
        <v>140103205.25888002</v>
      </c>
      <c r="F135" s="5" t="s">
        <v>48</v>
      </c>
      <c r="G135" s="39">
        <f>2956449.92*B227</f>
        <v>140103205.25888002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1:17" ht="12.75">
      <c r="A136" s="26" t="s">
        <v>51</v>
      </c>
      <c r="B136" s="6">
        <v>33679</v>
      </c>
      <c r="C136" s="5" t="s">
        <v>36</v>
      </c>
      <c r="D136" s="39">
        <f>SUM(G136:H136)</f>
        <v>420008020.21365</v>
      </c>
      <c r="E136" s="39"/>
      <c r="F136" s="5" t="s">
        <v>47</v>
      </c>
      <c r="G136" s="39">
        <f>18671172.27*B226</f>
        <v>420008020.21365</v>
      </c>
      <c r="H136" s="39"/>
      <c r="I136" s="5"/>
      <c r="J136" s="39"/>
      <c r="K136" s="39"/>
      <c r="L136" s="39"/>
      <c r="M136" s="39"/>
      <c r="N136" s="39"/>
      <c r="O136" s="39"/>
      <c r="P136" s="39"/>
      <c r="Q136" s="39"/>
    </row>
    <row r="137" spans="1:17" ht="13.5" thickBot="1">
      <c r="A137" s="27"/>
      <c r="B137" s="14"/>
      <c r="C137" s="14"/>
      <c r="D137" s="14"/>
      <c r="E137" s="40"/>
      <c r="F137" s="14" t="s">
        <v>48</v>
      </c>
      <c r="G137" s="40"/>
      <c r="H137" s="40"/>
      <c r="I137" s="14"/>
      <c r="J137" s="40"/>
      <c r="K137" s="40"/>
      <c r="L137" s="40"/>
      <c r="M137" s="40"/>
      <c r="N137" s="40"/>
      <c r="O137" s="40"/>
      <c r="P137" s="40"/>
      <c r="Q137" s="40"/>
    </row>
    <row r="138" spans="1:17" ht="13.5" thickTop="1">
      <c r="A138" s="11" t="s">
        <v>70</v>
      </c>
      <c r="B138" s="8"/>
      <c r="C138" s="8" t="s">
        <v>39</v>
      </c>
      <c r="D138" s="39">
        <f>SUM(G138:H138)</f>
        <v>252891067</v>
      </c>
      <c r="E138" s="71"/>
      <c r="F138" s="5" t="s">
        <v>47</v>
      </c>
      <c r="G138" s="38">
        <v>252891067</v>
      </c>
      <c r="H138" s="38"/>
      <c r="I138" s="8"/>
      <c r="J138" s="38"/>
      <c r="K138" s="38"/>
      <c r="L138" s="38"/>
      <c r="M138" s="38"/>
      <c r="N138" s="38"/>
      <c r="O138" s="38"/>
      <c r="P138" s="38"/>
      <c r="Q138" s="38"/>
    </row>
    <row r="139" spans="1:17" ht="13.5" thickBot="1">
      <c r="A139" s="89" t="s">
        <v>78</v>
      </c>
      <c r="B139" s="14"/>
      <c r="C139" s="14"/>
      <c r="D139" s="14"/>
      <c r="E139" s="40"/>
      <c r="F139" s="14" t="s">
        <v>48</v>
      </c>
      <c r="G139" s="40"/>
      <c r="H139" s="40"/>
      <c r="I139" s="14"/>
      <c r="J139" s="40"/>
      <c r="K139" s="40"/>
      <c r="L139" s="40"/>
      <c r="M139" s="40"/>
      <c r="N139" s="40"/>
      <c r="O139" s="40"/>
      <c r="P139" s="40"/>
      <c r="Q139" s="40"/>
    </row>
    <row r="140" spans="1:17" s="2" customFormat="1" ht="14.25" thickBot="1" thickTop="1">
      <c r="A140" s="31" t="s">
        <v>8</v>
      </c>
      <c r="B140" s="32"/>
      <c r="C140" s="32"/>
      <c r="D140" s="42">
        <f>SUM(D134:D138)</f>
        <v>2588987745.63916</v>
      </c>
      <c r="E140" s="42">
        <f>SUM(E134:E138)</f>
        <v>140103205.25888002</v>
      </c>
      <c r="F140" s="32"/>
      <c r="G140" s="42">
        <f>SUM(G134:G138)</f>
        <v>2729090950.89804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ht="12.75">
      <c r="A141" s="29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3.5" thickBot="1">
      <c r="A142" s="29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1" customFormat="1" ht="12.75">
      <c r="A143" s="18" t="s">
        <v>31</v>
      </c>
      <c r="B143" s="19" t="s">
        <v>32</v>
      </c>
      <c r="C143" s="20" t="s">
        <v>35</v>
      </c>
      <c r="D143" s="19" t="s">
        <v>65</v>
      </c>
      <c r="E143" s="21"/>
      <c r="F143" s="20"/>
      <c r="G143" s="22"/>
      <c r="H143" s="22"/>
      <c r="I143" s="22"/>
      <c r="J143" s="22" t="s">
        <v>63</v>
      </c>
      <c r="K143" s="22"/>
      <c r="L143" s="22"/>
      <c r="M143" s="22"/>
      <c r="N143" s="22"/>
      <c r="O143" s="22"/>
      <c r="P143" s="22"/>
      <c r="Q143" s="22"/>
    </row>
    <row r="144" spans="1:17" s="1" customFormat="1" ht="12.75">
      <c r="A144" s="23"/>
      <c r="B144" s="3" t="s">
        <v>33</v>
      </c>
      <c r="C144" s="7"/>
      <c r="D144" s="9" t="s">
        <v>46</v>
      </c>
      <c r="E144" s="10"/>
      <c r="F144" s="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67" t="s">
        <v>88</v>
      </c>
    </row>
    <row r="145" spans="1:17" ht="13.5" thickBot="1">
      <c r="A145" s="24"/>
      <c r="B145" s="12" t="s">
        <v>34</v>
      </c>
      <c r="C145" s="13"/>
      <c r="D145" s="14" t="s">
        <v>47</v>
      </c>
      <c r="E145" s="14" t="s">
        <v>48</v>
      </c>
      <c r="F145" s="13"/>
      <c r="G145" s="97">
        <v>2001</v>
      </c>
      <c r="H145" s="97">
        <v>2002</v>
      </c>
      <c r="I145" s="97">
        <v>2003</v>
      </c>
      <c r="J145" s="97">
        <v>2004</v>
      </c>
      <c r="K145" s="97">
        <v>2005</v>
      </c>
      <c r="L145" s="97">
        <v>2006</v>
      </c>
      <c r="M145" s="97">
        <v>2007</v>
      </c>
      <c r="N145" s="97">
        <v>2008</v>
      </c>
      <c r="O145" s="97">
        <v>2009</v>
      </c>
      <c r="P145" s="97">
        <v>2010</v>
      </c>
      <c r="Q145" s="97" t="s">
        <v>87</v>
      </c>
    </row>
    <row r="146" spans="1:17" ht="13.5" thickTop="1">
      <c r="A146" s="25" t="s">
        <v>56</v>
      </c>
      <c r="B146" s="8"/>
      <c r="C146" s="8"/>
      <c r="D146" s="8"/>
      <c r="E146" s="8"/>
      <c r="F146" s="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1:17" ht="12.75">
      <c r="A147" s="26" t="s">
        <v>57</v>
      </c>
      <c r="B147" s="6">
        <v>34711</v>
      </c>
      <c r="C147" s="5" t="s">
        <v>38</v>
      </c>
      <c r="D147" s="39">
        <f>SUM(G147:O147)</f>
        <v>85300200</v>
      </c>
      <c r="E147" s="39"/>
      <c r="F147" s="5" t="s">
        <v>47</v>
      </c>
      <c r="G147" s="39">
        <f>200000*B227</f>
        <v>9477800</v>
      </c>
      <c r="H147" s="39">
        <f>200000*B227</f>
        <v>9477800</v>
      </c>
      <c r="I147" s="39">
        <f>200000*B227</f>
        <v>9477800</v>
      </c>
      <c r="J147" s="39">
        <f>200000*B227</f>
        <v>9477800</v>
      </c>
      <c r="K147" s="39">
        <f>200000*B227</f>
        <v>9477800</v>
      </c>
      <c r="L147" s="39">
        <f>200000*B227</f>
        <v>9477800</v>
      </c>
      <c r="M147" s="39">
        <f>200000*B227</f>
        <v>9477800</v>
      </c>
      <c r="N147" s="39">
        <f>200000*B227</f>
        <v>9477800</v>
      </c>
      <c r="O147" s="39">
        <f>200000*B227</f>
        <v>9477800</v>
      </c>
      <c r="P147" s="5"/>
      <c r="Q147" s="39"/>
    </row>
    <row r="148" spans="1:17" ht="12.75">
      <c r="A148" s="26"/>
      <c r="B148" s="5"/>
      <c r="C148" s="5"/>
      <c r="D148" s="5"/>
      <c r="E148" s="39">
        <f>SUM(G148:O148)</f>
        <v>27800137.001879998</v>
      </c>
      <c r="F148" s="5" t="s">
        <v>48</v>
      </c>
      <c r="G148" s="39">
        <f>120071.88*B227</f>
        <v>5690086.32132</v>
      </c>
      <c r="H148" s="39">
        <f>106349.38*B227</f>
        <v>5039790.768820001</v>
      </c>
      <c r="I148" s="39">
        <f>92626.88*B227</f>
        <v>4389495.216320001</v>
      </c>
      <c r="J148" s="39">
        <f>78904.38*B227</f>
        <v>3739199.6638200004</v>
      </c>
      <c r="K148" s="39">
        <f>65181.88*B227</f>
        <v>3088904.11132</v>
      </c>
      <c r="L148" s="39">
        <f>51459.38*B227</f>
        <v>2438608.55882</v>
      </c>
      <c r="M148" s="39">
        <f>37736.88*B227</f>
        <v>1788313.00632</v>
      </c>
      <c r="N148" s="39">
        <f>24014.38*B227</f>
        <v>1138017.4538200002</v>
      </c>
      <c r="O148" s="39">
        <f>10291.88*B227</f>
        <v>487721.90132</v>
      </c>
      <c r="P148" s="5"/>
      <c r="Q148" s="39"/>
    </row>
    <row r="149" spans="1:17" ht="12.75">
      <c r="A149" s="26" t="s">
        <v>28</v>
      </c>
      <c r="B149" s="6">
        <v>35044</v>
      </c>
      <c r="C149" s="5" t="s">
        <v>38</v>
      </c>
      <c r="D149" s="39">
        <f>SUM(G149:M149)</f>
        <v>1369027277.7512503</v>
      </c>
      <c r="E149" s="39"/>
      <c r="F149" s="5" t="s">
        <v>47</v>
      </c>
      <c r="G149" s="39">
        <f>4444482.5*B227</f>
        <v>210619581.19250003</v>
      </c>
      <c r="H149" s="39">
        <f>4444482.5*B227</f>
        <v>210619581.19250003</v>
      </c>
      <c r="I149" s="39">
        <f>4444482.5*B227</f>
        <v>210619581.19250003</v>
      </c>
      <c r="J149" s="39">
        <f>4444482.5*B227</f>
        <v>210619581.19250003</v>
      </c>
      <c r="K149" s="39">
        <f>4444482.5*B227</f>
        <v>210619581.19250003</v>
      </c>
      <c r="L149" s="39">
        <f>4444482.5*B227</f>
        <v>210619581.19250003</v>
      </c>
      <c r="M149" s="39">
        <f>2222241.25*B227</f>
        <v>105309790.59625001</v>
      </c>
      <c r="N149" s="5"/>
      <c r="O149" s="39"/>
      <c r="P149" s="39"/>
      <c r="Q149" s="39"/>
    </row>
    <row r="150" spans="1:17" ht="13.5" thickBot="1">
      <c r="A150" s="27"/>
      <c r="B150" s="14"/>
      <c r="C150" s="14"/>
      <c r="D150" s="14"/>
      <c r="E150" s="40">
        <f>SUM(G150:M150)</f>
        <v>328287427.34586006</v>
      </c>
      <c r="F150" s="14" t="s">
        <v>48</v>
      </c>
      <c r="G150" s="40">
        <f>1903160.11*B227</f>
        <v>90188854.45279</v>
      </c>
      <c r="H150" s="40">
        <f>1598654.46*B227</f>
        <v>75758636.20494</v>
      </c>
      <c r="I150" s="40">
        <f>1294148.86*B227</f>
        <v>61328420.32654001</v>
      </c>
      <c r="J150" s="40">
        <f>989643.26*B227</f>
        <v>46898204.44814</v>
      </c>
      <c r="K150" s="40">
        <f>685137.65*B227</f>
        <v>32467988.095850002</v>
      </c>
      <c r="L150" s="40">
        <f>380632*B227</f>
        <v>18037769.848</v>
      </c>
      <c r="M150" s="40">
        <f>76126.4*B227</f>
        <v>3607553.9696</v>
      </c>
      <c r="N150" s="14"/>
      <c r="O150" s="40"/>
      <c r="P150" s="40"/>
      <c r="Q150" s="40"/>
    </row>
    <row r="151" spans="1:17" s="2" customFormat="1" ht="14.25" thickBot="1" thickTop="1">
      <c r="A151" s="31" t="s">
        <v>8</v>
      </c>
      <c r="B151" s="32"/>
      <c r="C151" s="32"/>
      <c r="D151" s="42">
        <f>SUM(D147:D150)</f>
        <v>1454327477.7512503</v>
      </c>
      <c r="E151" s="42">
        <f>SUM(E147:E150)</f>
        <v>356087564.34774005</v>
      </c>
      <c r="F151" s="32"/>
      <c r="G151" s="42">
        <f aca="true" t="shared" si="5" ref="G151:O151">SUM(G147:G150)</f>
        <v>315976321.96661</v>
      </c>
      <c r="H151" s="42">
        <f t="shared" si="5"/>
        <v>300895808.16626</v>
      </c>
      <c r="I151" s="42">
        <f t="shared" si="5"/>
        <v>285815296.73536</v>
      </c>
      <c r="J151" s="42">
        <f t="shared" si="5"/>
        <v>270734785.30446005</v>
      </c>
      <c r="K151" s="42">
        <f t="shared" si="5"/>
        <v>255654273.39967</v>
      </c>
      <c r="L151" s="42">
        <f t="shared" si="5"/>
        <v>240573759.59932002</v>
      </c>
      <c r="M151" s="42">
        <f t="shared" si="5"/>
        <v>120183457.57217002</v>
      </c>
      <c r="N151" s="42">
        <f t="shared" si="5"/>
        <v>10615817.45382</v>
      </c>
      <c r="O151" s="42">
        <f t="shared" si="5"/>
        <v>9965521.90132</v>
      </c>
      <c r="P151" s="42"/>
      <c r="Q151" s="42"/>
    </row>
    <row r="152" spans="1:17" s="2" customFormat="1" ht="12.75">
      <c r="A152" s="51"/>
      <c r="B152" s="51"/>
      <c r="C152" s="51"/>
      <c r="D152" s="68"/>
      <c r="E152" s="68"/>
      <c r="F152" s="51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</row>
    <row r="153" spans="1:17" ht="13.5" thickBot="1">
      <c r="A153" s="30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1" customFormat="1" ht="12.75">
      <c r="A154" s="18" t="s">
        <v>31</v>
      </c>
      <c r="B154" s="19" t="s">
        <v>32</v>
      </c>
      <c r="C154" s="20" t="s">
        <v>35</v>
      </c>
      <c r="D154" s="19" t="s">
        <v>65</v>
      </c>
      <c r="E154" s="19"/>
      <c r="F154" s="20"/>
      <c r="G154" s="22"/>
      <c r="H154" s="22"/>
      <c r="I154" s="22"/>
      <c r="J154" s="22" t="s">
        <v>63</v>
      </c>
      <c r="K154" s="22"/>
      <c r="L154" s="22"/>
      <c r="M154" s="22"/>
      <c r="N154" s="22"/>
      <c r="O154" s="22"/>
      <c r="P154" s="22"/>
      <c r="Q154" s="22"/>
    </row>
    <row r="155" spans="1:17" s="1" customFormat="1" ht="12.75">
      <c r="A155" s="23"/>
      <c r="B155" s="3" t="s">
        <v>33</v>
      </c>
      <c r="C155" s="7"/>
      <c r="D155" s="9" t="s">
        <v>46</v>
      </c>
      <c r="E155" s="10"/>
      <c r="F155" s="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67" t="s">
        <v>88</v>
      </c>
    </row>
    <row r="156" spans="1:17" ht="13.5" thickBot="1">
      <c r="A156" s="24"/>
      <c r="B156" s="12" t="s">
        <v>34</v>
      </c>
      <c r="C156" s="13"/>
      <c r="D156" s="14" t="s">
        <v>47</v>
      </c>
      <c r="E156" s="14" t="s">
        <v>48</v>
      </c>
      <c r="F156" s="13"/>
      <c r="G156" s="97">
        <v>2001</v>
      </c>
      <c r="H156" s="97">
        <v>2002</v>
      </c>
      <c r="I156" s="97">
        <v>2003</v>
      </c>
      <c r="J156" s="97">
        <v>2004</v>
      </c>
      <c r="K156" s="97">
        <v>2005</v>
      </c>
      <c r="L156" s="97">
        <v>2006</v>
      </c>
      <c r="M156" s="97">
        <v>2007</v>
      </c>
      <c r="N156" s="97">
        <v>2008</v>
      </c>
      <c r="O156" s="97">
        <v>2009</v>
      </c>
      <c r="P156" s="97">
        <v>2010</v>
      </c>
      <c r="Q156" s="97" t="s">
        <v>87</v>
      </c>
    </row>
    <row r="157" spans="1:17" ht="13.5" thickTop="1">
      <c r="A157" s="55"/>
      <c r="B157" s="8"/>
      <c r="C157" s="8"/>
      <c r="D157" s="8"/>
      <c r="E157" s="8"/>
      <c r="F157" s="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1:17" ht="12.75">
      <c r="A158" s="34" t="s">
        <v>52</v>
      </c>
      <c r="B158" s="6">
        <v>34058</v>
      </c>
      <c r="C158" s="5" t="s">
        <v>40</v>
      </c>
      <c r="D158" s="39">
        <f>SUM(G158:N158)</f>
        <v>1814835000</v>
      </c>
      <c r="E158" s="5"/>
      <c r="F158" s="5" t="s">
        <v>47</v>
      </c>
      <c r="G158" s="39">
        <f>5500000*B229</f>
        <v>241978000</v>
      </c>
      <c r="H158" s="39">
        <f>5500000*B229</f>
        <v>241978000</v>
      </c>
      <c r="I158" s="39">
        <f>5500000*B229</f>
        <v>241978000</v>
      </c>
      <c r="J158" s="39">
        <f>5500000*B229</f>
        <v>241978000</v>
      </c>
      <c r="K158" s="39">
        <f>5500000*B229</f>
        <v>241978000</v>
      </c>
      <c r="L158" s="39">
        <f>5500000*B229</f>
        <v>241978000</v>
      </c>
      <c r="M158" s="39">
        <f>5500000*B229</f>
        <v>241978000</v>
      </c>
      <c r="N158" s="39">
        <f>2750000*B229</f>
        <v>120989000</v>
      </c>
      <c r="P158" s="39"/>
      <c r="Q158" s="39"/>
    </row>
    <row r="159" spans="1:17" ht="13.5" thickBot="1">
      <c r="A159" s="27" t="s">
        <v>53</v>
      </c>
      <c r="B159" s="54"/>
      <c r="C159" s="14"/>
      <c r="D159" s="14"/>
      <c r="E159" s="14"/>
      <c r="F159" s="14" t="s">
        <v>48</v>
      </c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</row>
    <row r="160" spans="1:17" s="2" customFormat="1" ht="13.5" thickTop="1">
      <c r="A160" s="52" t="s">
        <v>8</v>
      </c>
      <c r="B160" s="49"/>
      <c r="C160" s="49"/>
      <c r="D160" s="50">
        <f>SUM(D158:D159)</f>
        <v>1814835000</v>
      </c>
      <c r="E160" s="49"/>
      <c r="F160" s="49"/>
      <c r="G160" s="50">
        <f aca="true" t="shared" si="6" ref="G160:N160">SUM(G158:G159)</f>
        <v>241978000</v>
      </c>
      <c r="H160" s="50">
        <f t="shared" si="6"/>
        <v>241978000</v>
      </c>
      <c r="I160" s="50">
        <f t="shared" si="6"/>
        <v>241978000</v>
      </c>
      <c r="J160" s="50">
        <f t="shared" si="6"/>
        <v>241978000</v>
      </c>
      <c r="K160" s="50">
        <f t="shared" si="6"/>
        <v>241978000</v>
      </c>
      <c r="L160" s="50">
        <f t="shared" si="6"/>
        <v>241978000</v>
      </c>
      <c r="M160" s="50">
        <f t="shared" si="6"/>
        <v>241978000</v>
      </c>
      <c r="N160" s="50">
        <f t="shared" si="6"/>
        <v>120989000</v>
      </c>
      <c r="O160" s="50"/>
      <c r="P160" s="50"/>
      <c r="Q160" s="50"/>
    </row>
    <row r="161" spans="1:17" s="1" customFormat="1" ht="13.5" thickBot="1">
      <c r="A161" s="35"/>
      <c r="B161" s="56"/>
      <c r="C161" s="56"/>
      <c r="D161" s="56"/>
      <c r="E161" s="56"/>
      <c r="F161" s="56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1:17" s="1" customFormat="1" ht="12.75">
      <c r="A162" s="55"/>
      <c r="B162" s="11"/>
      <c r="C162" s="11"/>
      <c r="D162" s="11"/>
      <c r="E162" s="11"/>
      <c r="F162" s="11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</row>
    <row r="163" spans="1:17" ht="12.75">
      <c r="A163" s="34" t="s">
        <v>55</v>
      </c>
      <c r="B163" s="6">
        <v>34582</v>
      </c>
      <c r="C163" s="5" t="s">
        <v>40</v>
      </c>
      <c r="D163" s="39">
        <f>SUM(G163:M163)</f>
        <v>577447500</v>
      </c>
      <c r="E163" s="5"/>
      <c r="F163" s="5" t="s">
        <v>47</v>
      </c>
      <c r="G163" s="39">
        <f>1875000*B229</f>
        <v>82492500</v>
      </c>
      <c r="H163" s="39">
        <f>1875000*B229</f>
        <v>82492500</v>
      </c>
      <c r="I163" s="39">
        <f>1875000*B229</f>
        <v>82492500</v>
      </c>
      <c r="J163" s="39">
        <f>1875000*B229</f>
        <v>82492500</v>
      </c>
      <c r="K163" s="39">
        <f>1875000*B229</f>
        <v>82492500</v>
      </c>
      <c r="L163" s="39">
        <f>1875000*B229</f>
        <v>82492500</v>
      </c>
      <c r="M163" s="39">
        <f>1875000*B229</f>
        <v>82492500</v>
      </c>
      <c r="O163" s="39"/>
      <c r="P163" s="39"/>
      <c r="Q163" s="39"/>
    </row>
    <row r="164" spans="1:17" ht="13.5" thickBot="1">
      <c r="A164" s="27" t="s">
        <v>28</v>
      </c>
      <c r="B164" s="54"/>
      <c r="C164" s="14"/>
      <c r="D164" s="14"/>
      <c r="E164" s="14"/>
      <c r="F164" s="14" t="s">
        <v>48</v>
      </c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s="2" customFormat="1" ht="13.5" thickTop="1">
      <c r="A165" s="52" t="s">
        <v>8</v>
      </c>
      <c r="B165" s="49"/>
      <c r="C165" s="49"/>
      <c r="D165" s="50">
        <f>SUM(D163:D164)</f>
        <v>577447500</v>
      </c>
      <c r="E165" s="49"/>
      <c r="F165" s="49"/>
      <c r="G165" s="50">
        <f aca="true" t="shared" si="7" ref="G165:M165">SUM(G163:G164)</f>
        <v>82492500</v>
      </c>
      <c r="H165" s="50">
        <f t="shared" si="7"/>
        <v>82492500</v>
      </c>
      <c r="I165" s="50">
        <f t="shared" si="7"/>
        <v>82492500</v>
      </c>
      <c r="J165" s="50">
        <f t="shared" si="7"/>
        <v>82492500</v>
      </c>
      <c r="K165" s="50">
        <f t="shared" si="7"/>
        <v>82492500</v>
      </c>
      <c r="L165" s="50">
        <f t="shared" si="7"/>
        <v>82492500</v>
      </c>
      <c r="M165" s="50">
        <f t="shared" si="7"/>
        <v>82492500</v>
      </c>
      <c r="N165" s="50"/>
      <c r="O165" s="50"/>
      <c r="P165" s="50"/>
      <c r="Q165" s="50"/>
    </row>
    <row r="166" spans="1:17" s="1" customFormat="1" ht="13.5" thickBot="1">
      <c r="A166" s="35"/>
      <c r="B166" s="56"/>
      <c r="C166" s="56"/>
      <c r="D166" s="56"/>
      <c r="E166" s="56"/>
      <c r="F166" s="56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1:17" s="1" customFormat="1" ht="12.75">
      <c r="A167" s="55"/>
      <c r="B167" s="11"/>
      <c r="C167" s="11"/>
      <c r="D167" s="11"/>
      <c r="E167" s="11"/>
      <c r="F167" s="11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7" ht="12.75">
      <c r="A168" s="34" t="s">
        <v>58</v>
      </c>
      <c r="B168" s="6">
        <v>35417</v>
      </c>
      <c r="C168" s="5" t="s">
        <v>36</v>
      </c>
      <c r="D168" s="39">
        <f>SUM(G168:M168)</f>
        <v>566874000</v>
      </c>
      <c r="E168" s="5"/>
      <c r="F168" s="5" t="s">
        <v>47</v>
      </c>
      <c r="G168" s="39">
        <f>25200000*B226</f>
        <v>566874000</v>
      </c>
      <c r="H168" s="39"/>
      <c r="I168" s="39"/>
      <c r="J168" s="39"/>
      <c r="K168" s="39"/>
      <c r="L168" s="39"/>
      <c r="M168" s="39"/>
      <c r="O168" s="39"/>
      <c r="P168" s="39"/>
      <c r="Q168" s="39"/>
    </row>
    <row r="169" spans="1:17" ht="12.75">
      <c r="A169" s="26" t="s">
        <v>59</v>
      </c>
      <c r="B169" s="6"/>
      <c r="C169" s="5"/>
      <c r="D169" s="5"/>
      <c r="E169" s="39">
        <f>SUM(G169:L169)</f>
        <v>11854162.03125</v>
      </c>
      <c r="F169" s="5" t="s">
        <v>48</v>
      </c>
      <c r="G169" s="39">
        <f>526968.75*B226</f>
        <v>11854162.03125</v>
      </c>
      <c r="H169" s="39"/>
      <c r="I169" s="39"/>
      <c r="J169" s="39"/>
      <c r="K169" s="39"/>
      <c r="L169" s="39"/>
      <c r="M169" s="5"/>
      <c r="N169" s="39"/>
      <c r="O169" s="39"/>
      <c r="P169" s="39"/>
      <c r="Q169" s="39"/>
    </row>
    <row r="170" spans="1:17" ht="12.75">
      <c r="A170" s="26"/>
      <c r="B170" s="6"/>
      <c r="C170" s="5" t="s">
        <v>38</v>
      </c>
      <c r="D170" s="39">
        <f>SUM(G170:M170)</f>
        <v>568668000</v>
      </c>
      <c r="E170" s="39"/>
      <c r="F170" s="5" t="s">
        <v>47</v>
      </c>
      <c r="G170" s="39">
        <f>12000000*B227</f>
        <v>568668000</v>
      </c>
      <c r="H170" s="39"/>
      <c r="I170" s="39"/>
      <c r="J170" s="39"/>
      <c r="K170" s="39"/>
      <c r="L170" s="39"/>
      <c r="M170" s="39"/>
      <c r="O170" s="39"/>
      <c r="P170" s="39"/>
      <c r="Q170" s="39"/>
    </row>
    <row r="171" spans="1:17" ht="13.5" thickBot="1">
      <c r="A171" s="27"/>
      <c r="B171" s="54"/>
      <c r="C171" s="14"/>
      <c r="D171" s="14"/>
      <c r="E171" s="73">
        <f>SUM(G171:L171)</f>
        <v>19059263.4375</v>
      </c>
      <c r="F171" s="14" t="s">
        <v>48</v>
      </c>
      <c r="G171" s="40">
        <f>B227*402187.5</f>
        <v>19059263.4375</v>
      </c>
      <c r="H171" s="40"/>
      <c r="I171" s="40"/>
      <c r="J171" s="40"/>
      <c r="K171" s="40"/>
      <c r="L171" s="40"/>
      <c r="M171" s="15"/>
      <c r="N171" s="40"/>
      <c r="O171" s="15"/>
      <c r="P171" s="40"/>
      <c r="Q171" s="40"/>
    </row>
    <row r="172" spans="1:17" s="2" customFormat="1" ht="13.5" thickTop="1">
      <c r="A172" s="52" t="s">
        <v>8</v>
      </c>
      <c r="B172" s="49"/>
      <c r="C172" s="49"/>
      <c r="D172" s="50">
        <f>SUM(D168:D171)</f>
        <v>1135542000</v>
      </c>
      <c r="E172" s="50">
        <f>SUM(E168:E171)</f>
        <v>30913425.46875</v>
      </c>
      <c r="F172" s="49"/>
      <c r="G172" s="50">
        <f>SUM(G168:G171)</f>
        <v>1166455425.46875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3.5" thickBot="1">
      <c r="A173" s="35"/>
      <c r="B173" s="36"/>
      <c r="C173" s="36"/>
      <c r="D173" s="36"/>
      <c r="E173" s="36"/>
      <c r="F173" s="36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5" spans="1:17" ht="12.75">
      <c r="A175" s="34" t="s">
        <v>61</v>
      </c>
      <c r="B175" s="6">
        <v>36066</v>
      </c>
      <c r="C175" s="5" t="s">
        <v>36</v>
      </c>
      <c r="D175" s="39">
        <f>SUM(G175:J175)</f>
        <v>112475000</v>
      </c>
      <c r="E175" s="39"/>
      <c r="F175" s="5" t="s">
        <v>47</v>
      </c>
      <c r="G175" s="39">
        <f>1250000*B226</f>
        <v>28118750</v>
      </c>
      <c r="H175" s="39">
        <f>1250000*B226</f>
        <v>28118750</v>
      </c>
      <c r="I175" s="39">
        <f>1250000*B226</f>
        <v>28118750</v>
      </c>
      <c r="J175" s="39">
        <f>1250000*B226</f>
        <v>28118750</v>
      </c>
      <c r="K175" s="5"/>
      <c r="L175" s="39"/>
      <c r="M175" s="39"/>
      <c r="N175" s="39"/>
      <c r="O175" s="39"/>
      <c r="P175" s="39"/>
      <c r="Q175" s="39"/>
    </row>
    <row r="176" spans="1:17" ht="13.5" thickBot="1">
      <c r="A176" s="27"/>
      <c r="B176" s="54"/>
      <c r="C176" s="14"/>
      <c r="D176" s="14"/>
      <c r="E176" s="40">
        <f>SUM(G176:J176)</f>
        <v>19612828.125</v>
      </c>
      <c r="F176" s="14" t="s">
        <v>48</v>
      </c>
      <c r="G176" s="40">
        <f>363281.25*B226</f>
        <v>8172011.71875</v>
      </c>
      <c r="H176" s="40">
        <f>266406.25*B226</f>
        <v>5992808.59375</v>
      </c>
      <c r="I176" s="40">
        <f>169531.25*B226</f>
        <v>3813605.46875</v>
      </c>
      <c r="J176" s="40">
        <f>72656.25*B226</f>
        <v>1634402.34375</v>
      </c>
      <c r="K176" s="14"/>
      <c r="L176" s="40"/>
      <c r="M176" s="40"/>
      <c r="N176" s="40"/>
      <c r="O176" s="40"/>
      <c r="P176" s="40"/>
      <c r="Q176" s="40"/>
    </row>
    <row r="177" spans="1:17" s="2" customFormat="1" ht="13.5" thickTop="1">
      <c r="A177" s="52" t="s">
        <v>8</v>
      </c>
      <c r="B177" s="49"/>
      <c r="C177" s="49"/>
      <c r="D177" s="50">
        <f>SUM(D175:D176)</f>
        <v>112475000</v>
      </c>
      <c r="E177" s="50">
        <f>SUM(E175:E176)</f>
        <v>19612828.125</v>
      </c>
      <c r="F177" s="49"/>
      <c r="G177" s="50">
        <f>SUM(G175:G176)</f>
        <v>36290761.71875</v>
      </c>
      <c r="H177" s="50">
        <f>SUM(H175:H176)</f>
        <v>34111558.59375</v>
      </c>
      <c r="I177" s="50">
        <f>SUM(I175:I176)</f>
        <v>31932355.46875</v>
      </c>
      <c r="J177" s="50">
        <f>SUM(J175:J176)</f>
        <v>29753152.34375</v>
      </c>
      <c r="K177" s="50"/>
      <c r="L177" s="50"/>
      <c r="M177" s="50"/>
      <c r="N177" s="50"/>
      <c r="O177" s="50"/>
      <c r="P177" s="50"/>
      <c r="Q177" s="50"/>
    </row>
    <row r="178" spans="1:17" s="1" customFormat="1" ht="13.5" thickBot="1">
      <c r="A178" s="35"/>
      <c r="B178" s="56"/>
      <c r="C178" s="56"/>
      <c r="D178" s="56"/>
      <c r="E178" s="56"/>
      <c r="F178" s="56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1:17" s="1" customFormat="1" ht="12.75">
      <c r="A179" s="60"/>
      <c r="B179" s="61"/>
      <c r="C179" s="61"/>
      <c r="D179" s="61"/>
      <c r="E179" s="61"/>
      <c r="F179" s="61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ht="12.75">
      <c r="A180" s="45" t="s">
        <v>62</v>
      </c>
      <c r="B180" s="46">
        <v>36348</v>
      </c>
      <c r="C180" s="47" t="s">
        <v>40</v>
      </c>
      <c r="D180" s="39">
        <f>SUM(G180:Q180)</f>
        <v>2241596200</v>
      </c>
      <c r="E180" s="64"/>
      <c r="F180" s="47" t="s">
        <v>47</v>
      </c>
      <c r="G180" s="48">
        <f>2038000*B229</f>
        <v>89663848</v>
      </c>
      <c r="H180" s="48">
        <f>4076000*B229</f>
        <v>179327696</v>
      </c>
      <c r="I180" s="48">
        <f>4076000*B229</f>
        <v>179327696</v>
      </c>
      <c r="J180" s="48">
        <f>4076000*B229</f>
        <v>179327696</v>
      </c>
      <c r="K180" s="48">
        <f>4076000*B229</f>
        <v>179327696</v>
      </c>
      <c r="L180" s="48">
        <f>4076000*B229</f>
        <v>179327696</v>
      </c>
      <c r="M180" s="48">
        <f>4076000*B229</f>
        <v>179327696</v>
      </c>
      <c r="N180" s="48">
        <f>4076000*B229</f>
        <v>179327696</v>
      </c>
      <c r="O180" s="48">
        <f>4076000*B229</f>
        <v>179327696</v>
      </c>
      <c r="P180" s="48">
        <f>4076000*B229</f>
        <v>179327696</v>
      </c>
      <c r="Q180" s="48">
        <f>12228000*B229</f>
        <v>537983088</v>
      </c>
    </row>
    <row r="181" spans="1:17" s="16" customFormat="1" ht="13.5" thickBot="1">
      <c r="A181" s="27" t="s">
        <v>28</v>
      </c>
      <c r="B181" s="14"/>
      <c r="C181" s="14"/>
      <c r="D181" s="14"/>
      <c r="E181" s="40">
        <f>SUM(G181:Q181)</f>
        <v>408530929.448</v>
      </c>
      <c r="F181" s="63" t="s">
        <v>48</v>
      </c>
      <c r="G181" s="40">
        <f>1361894*B229</f>
        <v>59917888.424</v>
      </c>
      <c r="H181" s="40">
        <f>1265598*B229</f>
        <v>55681249.608</v>
      </c>
      <c r="I181" s="40">
        <f>1155546*B229</f>
        <v>50839401.816</v>
      </c>
      <c r="J181" s="40">
        <f>1045494*B229</f>
        <v>45997554.024000004</v>
      </c>
      <c r="K181" s="40">
        <f>935442*B229</f>
        <v>41155706.232</v>
      </c>
      <c r="L181" s="40">
        <f>825390*B229</f>
        <v>36313858.440000005</v>
      </c>
      <c r="M181" s="40">
        <f>715338*B229</f>
        <v>31472010.648000002</v>
      </c>
      <c r="N181" s="40">
        <f>605286*B229</f>
        <v>26630162.856000002</v>
      </c>
      <c r="O181" s="40">
        <f>495234*B229</f>
        <v>21788315.064</v>
      </c>
      <c r="P181" s="40">
        <f>385182*B229</f>
        <v>16946467.272</v>
      </c>
      <c r="Q181" s="40">
        <f>495234*B229</f>
        <v>21788315.064</v>
      </c>
    </row>
    <row r="182" spans="1:17" s="51" customFormat="1" ht="13.5" thickTop="1">
      <c r="A182" s="74" t="s">
        <v>8</v>
      </c>
      <c r="B182" s="75"/>
      <c r="C182" s="75"/>
      <c r="D182" s="82">
        <f>SUM(D180:D181)</f>
        <v>2241596200</v>
      </c>
      <c r="E182" s="82">
        <f>SUM(E180:E181)</f>
        <v>408530929.448</v>
      </c>
      <c r="F182" s="75"/>
      <c r="G182" s="82">
        <f aca="true" t="shared" si="8" ref="G182:Q182">SUM(G180:G181)</f>
        <v>149581736.424</v>
      </c>
      <c r="H182" s="82">
        <f t="shared" si="8"/>
        <v>235008945.608</v>
      </c>
      <c r="I182" s="82">
        <f t="shared" si="8"/>
        <v>230167097.81599998</v>
      </c>
      <c r="J182" s="82">
        <f t="shared" si="8"/>
        <v>225325250.024</v>
      </c>
      <c r="K182" s="82">
        <f t="shared" si="8"/>
        <v>220483402.232</v>
      </c>
      <c r="L182" s="82">
        <f t="shared" si="8"/>
        <v>215641554.44</v>
      </c>
      <c r="M182" s="82">
        <f t="shared" si="8"/>
        <v>210799706.648</v>
      </c>
      <c r="N182" s="82">
        <f t="shared" si="8"/>
        <v>205957858.856</v>
      </c>
      <c r="O182" s="82">
        <f t="shared" si="8"/>
        <v>201116011.064</v>
      </c>
      <c r="P182" s="82">
        <f t="shared" si="8"/>
        <v>196274163.272</v>
      </c>
      <c r="Q182" s="82">
        <f t="shared" si="8"/>
        <v>559771403.064</v>
      </c>
    </row>
    <row r="183" spans="1:17" s="51" customFormat="1" ht="13.5" thickBot="1">
      <c r="A183" s="55"/>
      <c r="B183" s="8"/>
      <c r="C183" s="8"/>
      <c r="D183" s="8"/>
      <c r="E183" s="8"/>
      <c r="F183" s="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1:17" s="51" customFormat="1" ht="12.75">
      <c r="A184" s="18" t="s">
        <v>31</v>
      </c>
      <c r="B184" s="19" t="s">
        <v>32</v>
      </c>
      <c r="C184" s="20" t="s">
        <v>35</v>
      </c>
      <c r="D184" s="19" t="s">
        <v>65</v>
      </c>
      <c r="E184" s="19"/>
      <c r="F184" s="20"/>
      <c r="G184" s="22"/>
      <c r="H184" s="22"/>
      <c r="I184" s="22"/>
      <c r="J184" s="22" t="s">
        <v>63</v>
      </c>
      <c r="K184" s="22"/>
      <c r="L184" s="22"/>
      <c r="M184" s="22"/>
      <c r="N184" s="22"/>
      <c r="O184" s="22"/>
      <c r="P184" s="22"/>
      <c r="Q184" s="22"/>
    </row>
    <row r="185" spans="1:17" s="51" customFormat="1" ht="12.75">
      <c r="A185" s="23"/>
      <c r="B185" s="3" t="s">
        <v>33</v>
      </c>
      <c r="C185" s="7"/>
      <c r="D185" s="9" t="s">
        <v>46</v>
      </c>
      <c r="E185" s="10"/>
      <c r="F185" s="7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67" t="s">
        <v>88</v>
      </c>
    </row>
    <row r="186" spans="1:17" s="51" customFormat="1" ht="13.5" thickBot="1">
      <c r="A186" s="24"/>
      <c r="B186" s="12" t="s">
        <v>34</v>
      </c>
      <c r="C186" s="13"/>
      <c r="D186" s="14" t="s">
        <v>47</v>
      </c>
      <c r="E186" s="14" t="s">
        <v>48</v>
      </c>
      <c r="F186" s="13"/>
      <c r="G186" s="97">
        <v>2001</v>
      </c>
      <c r="H186" s="97">
        <v>2002</v>
      </c>
      <c r="I186" s="97">
        <v>2003</v>
      </c>
      <c r="J186" s="97">
        <v>2004</v>
      </c>
      <c r="K186" s="97">
        <v>2005</v>
      </c>
      <c r="L186" s="97">
        <v>2006</v>
      </c>
      <c r="M186" s="97">
        <v>2007</v>
      </c>
      <c r="N186" s="97">
        <v>2008</v>
      </c>
      <c r="O186" s="97">
        <v>2009</v>
      </c>
      <c r="P186" s="97">
        <v>2010</v>
      </c>
      <c r="Q186" s="97" t="s">
        <v>87</v>
      </c>
    </row>
    <row r="187" spans="1:17" s="51" customFormat="1" ht="13.5" thickTop="1">
      <c r="A187" s="55"/>
      <c r="B187" s="8"/>
      <c r="C187" s="8"/>
      <c r="D187" s="8"/>
      <c r="E187" s="8"/>
      <c r="F187" s="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1:17" s="51" customFormat="1" ht="12.75">
      <c r="A188" s="34" t="s">
        <v>79</v>
      </c>
      <c r="B188" s="6">
        <v>36644</v>
      </c>
      <c r="C188" s="5" t="s">
        <v>38</v>
      </c>
      <c r="D188" s="39">
        <f>SUM(G188:N188)</f>
        <v>547248172</v>
      </c>
      <c r="E188" s="39"/>
      <c r="F188" s="5" t="s">
        <v>47</v>
      </c>
      <c r="G188" s="39">
        <f>10000000*B227</f>
        <v>473890000</v>
      </c>
      <c r="H188" s="39">
        <f>1548000*B227</f>
        <v>73358172</v>
      </c>
      <c r="I188" s="39"/>
      <c r="J188" s="39"/>
      <c r="K188" s="39"/>
      <c r="L188" s="39"/>
      <c r="M188" s="39"/>
      <c r="N188" s="39"/>
      <c r="O188" s="5"/>
      <c r="P188" s="39"/>
      <c r="Q188" s="39"/>
    </row>
    <row r="189" spans="1:17" s="51" customFormat="1" ht="13.5" thickBot="1">
      <c r="A189" s="27" t="s">
        <v>74</v>
      </c>
      <c r="B189" s="54"/>
      <c r="C189" s="14"/>
      <c r="D189" s="14"/>
      <c r="E189" s="40"/>
      <c r="F189" s="14" t="s">
        <v>48</v>
      </c>
      <c r="G189" s="40"/>
      <c r="H189" s="40"/>
      <c r="I189" s="40"/>
      <c r="J189" s="40"/>
      <c r="K189" s="40"/>
      <c r="L189" s="40"/>
      <c r="M189" s="40"/>
      <c r="N189" s="40"/>
      <c r="O189" s="14"/>
      <c r="P189" s="40"/>
      <c r="Q189" s="40"/>
    </row>
    <row r="190" spans="1:17" s="51" customFormat="1" ht="13.5" thickTop="1">
      <c r="A190" s="52" t="s">
        <v>8</v>
      </c>
      <c r="B190" s="49"/>
      <c r="C190" s="49"/>
      <c r="D190" s="50">
        <f>SUM(D188:D189)</f>
        <v>547248172</v>
      </c>
      <c r="E190" s="50"/>
      <c r="F190" s="49"/>
      <c r="G190" s="50">
        <f>SUM(G188:G189)</f>
        <v>473890000</v>
      </c>
      <c r="H190" s="50">
        <f>SUM(H188:H189)</f>
        <v>73358172</v>
      </c>
      <c r="I190" s="50">
        <f aca="true" t="shared" si="9" ref="I190:N190">SUM(I188:I189)</f>
        <v>0</v>
      </c>
      <c r="J190" s="50">
        <f t="shared" si="9"/>
        <v>0</v>
      </c>
      <c r="K190" s="50">
        <f t="shared" si="9"/>
        <v>0</v>
      </c>
      <c r="L190" s="50">
        <f t="shared" si="9"/>
        <v>0</v>
      </c>
      <c r="M190" s="50">
        <f t="shared" si="9"/>
        <v>0</v>
      </c>
      <c r="N190" s="50">
        <f t="shared" si="9"/>
        <v>0</v>
      </c>
      <c r="O190" s="50"/>
      <c r="P190" s="50"/>
      <c r="Q190" s="50"/>
    </row>
    <row r="191" spans="1:17" s="51" customFormat="1" ht="13.5" thickBot="1">
      <c r="A191" s="58"/>
      <c r="B191" s="56"/>
      <c r="C191" s="56"/>
      <c r="D191" s="56"/>
      <c r="E191" s="56"/>
      <c r="F191" s="56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1:17" s="51" customFormat="1" ht="12.75">
      <c r="A192" s="52"/>
      <c r="B192" s="11"/>
      <c r="C192" s="11"/>
      <c r="D192" s="11"/>
      <c r="E192" s="11"/>
      <c r="F192" s="11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</row>
    <row r="193" spans="1:17" s="51" customFormat="1" ht="12.75">
      <c r="A193" s="34" t="s">
        <v>80</v>
      </c>
      <c r="B193" s="6">
        <v>36704</v>
      </c>
      <c r="C193" s="5" t="s">
        <v>40</v>
      </c>
      <c r="D193" s="39">
        <f>SUM(G193:P193)</f>
        <v>270311424</v>
      </c>
      <c r="E193" s="39"/>
      <c r="F193" s="5" t="s">
        <v>47</v>
      </c>
      <c r="G193" s="39"/>
      <c r="H193" s="39"/>
      <c r="I193" s="39"/>
      <c r="J193" s="39"/>
      <c r="K193" s="5"/>
      <c r="L193" s="39">
        <f>1228800*B229</f>
        <v>54062284.800000004</v>
      </c>
      <c r="M193" s="39">
        <f>1228800*B229</f>
        <v>54062284.800000004</v>
      </c>
      <c r="N193" s="39">
        <f>1228800*B229</f>
        <v>54062284.800000004</v>
      </c>
      <c r="O193" s="39">
        <f>1228800*B229</f>
        <v>54062284.800000004</v>
      </c>
      <c r="P193" s="39">
        <f>1228800*B229</f>
        <v>54062284.800000004</v>
      </c>
      <c r="Q193" s="39"/>
    </row>
    <row r="194" spans="1:17" s="51" customFormat="1" ht="13.5" thickBot="1">
      <c r="A194" s="27" t="s">
        <v>12</v>
      </c>
      <c r="B194" s="54"/>
      <c r="C194" s="14"/>
      <c r="D194" s="14"/>
      <c r="E194" s="40">
        <f>SUM(G194:L194)</f>
        <v>57236596.2</v>
      </c>
      <c r="F194" s="14" t="s">
        <v>48</v>
      </c>
      <c r="G194" s="40">
        <f>236715*B229</f>
        <v>10414513.14</v>
      </c>
      <c r="H194" s="40">
        <f>236715*B229</f>
        <v>10414513.14</v>
      </c>
      <c r="I194" s="40">
        <f>236715*B229</f>
        <v>10414513.14</v>
      </c>
      <c r="J194" s="40">
        <f>236715*B229</f>
        <v>10414513.14</v>
      </c>
      <c r="K194" s="40">
        <f>236715*B229</f>
        <v>10414513.14</v>
      </c>
      <c r="L194" s="40">
        <f>117375*B229</f>
        <v>5164030.5</v>
      </c>
      <c r="M194" s="40"/>
      <c r="N194" s="40"/>
      <c r="O194" s="40"/>
      <c r="P194" s="40"/>
      <c r="Q194" s="40"/>
    </row>
    <row r="195" spans="1:17" s="51" customFormat="1" ht="13.5" thickTop="1">
      <c r="A195" s="52" t="s">
        <v>8</v>
      </c>
      <c r="B195" s="49"/>
      <c r="C195" s="49"/>
      <c r="D195" s="50">
        <f>SUM(D193:D194)</f>
        <v>270311424</v>
      </c>
      <c r="E195" s="50">
        <f>SUM(E193:E194)</f>
        <v>57236596.2</v>
      </c>
      <c r="F195" s="49"/>
      <c r="G195" s="50">
        <f aca="true" t="shared" si="10" ref="G195:P195">SUM(G193:G194)</f>
        <v>10414513.14</v>
      </c>
      <c r="H195" s="50">
        <f t="shared" si="10"/>
        <v>10414513.14</v>
      </c>
      <c r="I195" s="50">
        <f t="shared" si="10"/>
        <v>10414513.14</v>
      </c>
      <c r="J195" s="50">
        <f t="shared" si="10"/>
        <v>10414513.14</v>
      </c>
      <c r="K195" s="50">
        <f t="shared" si="10"/>
        <v>10414513.14</v>
      </c>
      <c r="L195" s="50">
        <f t="shared" si="10"/>
        <v>59226315.300000004</v>
      </c>
      <c r="M195" s="50">
        <f t="shared" si="10"/>
        <v>54062284.800000004</v>
      </c>
      <c r="N195" s="50">
        <f t="shared" si="10"/>
        <v>54062284.800000004</v>
      </c>
      <c r="O195" s="50">
        <f t="shared" si="10"/>
        <v>54062284.800000004</v>
      </c>
      <c r="P195" s="50">
        <f t="shared" si="10"/>
        <v>54062284.800000004</v>
      </c>
      <c r="Q195" s="50"/>
    </row>
    <row r="196" spans="1:17" s="51" customFormat="1" ht="13.5" thickBot="1">
      <c r="A196" s="35"/>
      <c r="B196" s="56"/>
      <c r="C196" s="56"/>
      <c r="D196" s="56"/>
      <c r="E196" s="56"/>
      <c r="F196" s="56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1:17" s="51" customFormat="1" ht="12.75">
      <c r="A197" s="60"/>
      <c r="B197" s="61"/>
      <c r="C197" s="61"/>
      <c r="D197" s="61"/>
      <c r="E197" s="61"/>
      <c r="F197" s="61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1:17" s="51" customFormat="1" ht="12.75">
      <c r="A198" s="45" t="s">
        <v>83</v>
      </c>
      <c r="B198" s="46">
        <v>36725</v>
      </c>
      <c r="C198" s="47" t="s">
        <v>38</v>
      </c>
      <c r="D198" s="39">
        <f>SUM(G198:Q198)</f>
        <v>628162662.217</v>
      </c>
      <c r="E198" s="64"/>
      <c r="F198" s="47" t="s">
        <v>47</v>
      </c>
      <c r="G198" s="48">
        <f>13255453*B227</f>
        <v>628162662.217</v>
      </c>
      <c r="H198" s="48"/>
      <c r="I198" s="48"/>
      <c r="J198" s="48"/>
      <c r="K198" s="48"/>
      <c r="L198" s="48"/>
      <c r="M198" s="48"/>
      <c r="N198" s="48"/>
      <c r="O198" s="48"/>
      <c r="P198" s="48"/>
      <c r="Q198" s="48"/>
    </row>
    <row r="199" spans="1:17" s="51" customFormat="1" ht="13.5" thickBot="1">
      <c r="A199" s="27" t="s">
        <v>27</v>
      </c>
      <c r="B199" s="14"/>
      <c r="C199" s="14"/>
      <c r="D199" s="14"/>
      <c r="E199" s="40">
        <f>SUM(G199:Q199)</f>
        <v>42139246.580000006</v>
      </c>
      <c r="F199" s="63" t="s">
        <v>48</v>
      </c>
      <c r="G199" s="40">
        <f>889220*B227</f>
        <v>42139246.580000006</v>
      </c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1:17" s="51" customFormat="1" ht="13.5" thickTop="1">
      <c r="A200" s="74" t="s">
        <v>8</v>
      </c>
      <c r="B200" s="75"/>
      <c r="C200" s="75"/>
      <c r="D200" s="82">
        <f>SUM(D198:D199)</f>
        <v>628162662.217</v>
      </c>
      <c r="E200" s="82">
        <f>SUM(E198:E199)</f>
        <v>42139246.580000006</v>
      </c>
      <c r="F200" s="75"/>
      <c r="G200" s="82">
        <f>SUM(G198:G199)</f>
        <v>670301908.797</v>
      </c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1:17" s="51" customFormat="1" ht="13.5" thickBot="1">
      <c r="A201" s="88"/>
      <c r="B201" s="88"/>
      <c r="C201" s="88"/>
      <c r="D201" s="86"/>
      <c r="E201" s="86"/>
      <c r="F201" s="88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</row>
    <row r="202" spans="1:17" s="51" customFormat="1" ht="12.75">
      <c r="A202" s="75"/>
      <c r="B202" s="75"/>
      <c r="C202" s="75"/>
      <c r="D202" s="82"/>
      <c r="E202" s="82"/>
      <c r="F202" s="75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1:17" s="51" customFormat="1" ht="12.75">
      <c r="A203" s="77" t="s">
        <v>85</v>
      </c>
      <c r="B203" s="78">
        <v>36889</v>
      </c>
      <c r="C203" s="77" t="s">
        <v>36</v>
      </c>
      <c r="D203" s="79">
        <f>29370000*B226</f>
        <v>660678150</v>
      </c>
      <c r="E203" s="79"/>
      <c r="F203" s="47" t="s">
        <v>47</v>
      </c>
      <c r="G203" s="79">
        <f>29370000*B226</f>
        <v>660678150</v>
      </c>
      <c r="H203" s="76"/>
      <c r="I203" s="76"/>
      <c r="J203" s="76"/>
      <c r="K203" s="76"/>
      <c r="L203" s="76"/>
      <c r="M203" s="76"/>
      <c r="N203" s="76"/>
      <c r="O203" s="76"/>
      <c r="P203" s="76"/>
      <c r="Q203" s="76"/>
    </row>
    <row r="204" spans="1:17" s="51" customFormat="1" ht="13.5" thickBot="1">
      <c r="A204" s="53" t="s">
        <v>86</v>
      </c>
      <c r="B204" s="80"/>
      <c r="C204" s="80"/>
      <c r="D204" s="84"/>
      <c r="E204" s="84">
        <f>5041.05*B226</f>
        <v>113398.41975000002</v>
      </c>
      <c r="F204" s="63" t="s">
        <v>48</v>
      </c>
      <c r="G204" s="84">
        <f>5041.05*B226</f>
        <v>113398.41975000002</v>
      </c>
      <c r="H204" s="84"/>
      <c r="I204" s="84"/>
      <c r="J204" s="84"/>
      <c r="K204" s="84"/>
      <c r="L204" s="84"/>
      <c r="M204" s="84"/>
      <c r="N204" s="84"/>
      <c r="O204" s="84"/>
      <c r="P204" s="84"/>
      <c r="Q204" s="84"/>
    </row>
    <row r="205" spans="1:17" s="51" customFormat="1" ht="13.5" thickTop="1">
      <c r="A205" s="49" t="s">
        <v>8</v>
      </c>
      <c r="B205" s="49"/>
      <c r="C205" s="49"/>
      <c r="D205" s="50">
        <f>SUM(D203:D204)</f>
        <v>660678150</v>
      </c>
      <c r="E205" s="50">
        <f>SUM(E203:E204)</f>
        <v>113398.41975000002</v>
      </c>
      <c r="F205" s="49"/>
      <c r="G205" s="50">
        <f>SUM(G203:G204)</f>
        <v>660791548.41975</v>
      </c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1:17" s="51" customFormat="1" ht="13.5" thickBot="1">
      <c r="A206" s="113"/>
      <c r="B206" s="88"/>
      <c r="C206" s="88"/>
      <c r="D206" s="86"/>
      <c r="E206" s="86"/>
      <c r="F206" s="88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</row>
    <row r="207" spans="1:17" s="51" customFormat="1" ht="12.75">
      <c r="A207" s="112"/>
      <c r="B207" s="49"/>
      <c r="C207" s="49"/>
      <c r="D207" s="50"/>
      <c r="E207" s="50"/>
      <c r="F207" s="49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1:17" ht="12.75">
      <c r="A208" s="34" t="s">
        <v>60</v>
      </c>
      <c r="B208" s="6">
        <v>36048</v>
      </c>
      <c r="C208" s="5" t="s">
        <v>36</v>
      </c>
      <c r="D208" s="39">
        <f>SUM(G208:N208)</f>
        <v>1054453125</v>
      </c>
      <c r="E208" s="39"/>
      <c r="F208" s="5" t="s">
        <v>47</v>
      </c>
      <c r="G208" s="39">
        <f>6250000*B226</f>
        <v>140593750</v>
      </c>
      <c r="H208" s="39">
        <f>6250000*B226</f>
        <v>140593750</v>
      </c>
      <c r="I208" s="39">
        <f>6250000*B226</f>
        <v>140593750</v>
      </c>
      <c r="J208" s="39">
        <f>6250000*B226</f>
        <v>140593750</v>
      </c>
      <c r="K208" s="39">
        <f>6250000*B226</f>
        <v>140593750</v>
      </c>
      <c r="L208" s="39">
        <f>6250000*B226</f>
        <v>140593750</v>
      </c>
      <c r="M208" s="39">
        <f>6250000*B226</f>
        <v>140593750</v>
      </c>
      <c r="N208" s="39">
        <f>3125000*B226</f>
        <v>70296875</v>
      </c>
      <c r="O208" s="5"/>
      <c r="P208" s="39"/>
      <c r="Q208" s="39"/>
    </row>
    <row r="209" spans="1:17" ht="12.75">
      <c r="A209" s="5" t="s">
        <v>19</v>
      </c>
      <c r="B209" s="6"/>
      <c r="C209" s="5"/>
      <c r="D209" s="5"/>
      <c r="E209" s="39">
        <f>SUM(G209:N209)</f>
        <v>189766895.68045002</v>
      </c>
      <c r="F209" s="5" t="s">
        <v>48</v>
      </c>
      <c r="G209" s="39">
        <f>2038869.87*B226</f>
        <v>45864377.725650005</v>
      </c>
      <c r="H209" s="39">
        <f>1757619.86*B226</f>
        <v>39537658.750700004</v>
      </c>
      <c r="I209" s="39">
        <f>1476369.86*B226</f>
        <v>33210940.000700004</v>
      </c>
      <c r="J209" s="39">
        <f>1195119.87*B226</f>
        <v>26884221.475650005</v>
      </c>
      <c r="K209" s="39">
        <f>913869.86*B226</f>
        <v>20557502.5007</v>
      </c>
      <c r="L209" s="39">
        <f>632619.87*B226</f>
        <v>14230783.975650001</v>
      </c>
      <c r="M209" s="39">
        <f>351369.86*B226</f>
        <v>7904065.0007</v>
      </c>
      <c r="N209" s="39">
        <f>70119.86*B226</f>
        <v>1577346.2507</v>
      </c>
      <c r="O209" s="5"/>
      <c r="P209" s="39"/>
      <c r="Q209" s="39"/>
    </row>
    <row r="210" spans="1:17" ht="12.75">
      <c r="A210" s="34" t="s">
        <v>60</v>
      </c>
      <c r="B210" s="104">
        <v>36881</v>
      </c>
      <c r="C210" s="70" t="s">
        <v>40</v>
      </c>
      <c r="D210" s="39">
        <f>SUM(G210:Q210)</f>
        <v>1451868000</v>
      </c>
      <c r="E210" s="71"/>
      <c r="F210" s="8" t="s">
        <v>47</v>
      </c>
      <c r="G210" s="39"/>
      <c r="H210" s="39"/>
      <c r="I210" s="39"/>
      <c r="J210" s="39">
        <f>2200000*B229</f>
        <v>96791200</v>
      </c>
      <c r="K210" s="39">
        <f>2200000*B229</f>
        <v>96791200</v>
      </c>
      <c r="L210" s="39">
        <f>2200000*B229</f>
        <v>96791200</v>
      </c>
      <c r="M210" s="39">
        <f>2200000*B229</f>
        <v>96791200</v>
      </c>
      <c r="N210" s="39">
        <f>2200000*B229</f>
        <v>96791200</v>
      </c>
      <c r="O210" s="39">
        <f>2200000*B229</f>
        <v>96791200</v>
      </c>
      <c r="P210" s="39">
        <f>2200000*B229</f>
        <v>96791200</v>
      </c>
      <c r="Q210" s="39">
        <f>17600000*B229</f>
        <v>774329600</v>
      </c>
    </row>
    <row r="211" spans="1:17" ht="12.75">
      <c r="A211" s="108" t="s">
        <v>19</v>
      </c>
      <c r="B211" s="104"/>
      <c r="C211" s="70"/>
      <c r="D211" s="70"/>
      <c r="E211" s="39">
        <f>SUM(G211:Q211)</f>
        <v>4041030.400200001</v>
      </c>
      <c r="F211" s="70" t="s">
        <v>48</v>
      </c>
      <c r="G211" s="39">
        <f>6123.33*B229</f>
        <v>269402.02668</v>
      </c>
      <c r="H211" s="39">
        <f>6123.33*B229</f>
        <v>269402.02668</v>
      </c>
      <c r="I211" s="39">
        <f>6123.33*B229</f>
        <v>269402.02668</v>
      </c>
      <c r="J211" s="39">
        <f>6123.33*B229</f>
        <v>269402.02668</v>
      </c>
      <c r="K211" s="39">
        <f>6123.33*B229</f>
        <v>269402.02668</v>
      </c>
      <c r="L211" s="39">
        <f>6123.33*B229</f>
        <v>269402.02668</v>
      </c>
      <c r="M211" s="39">
        <f>6123.33*B229</f>
        <v>269402.02668</v>
      </c>
      <c r="N211" s="39">
        <f>6123.33*B229</f>
        <v>269402.02668</v>
      </c>
      <c r="O211" s="39">
        <f>6123.33*B229</f>
        <v>269402.02668</v>
      </c>
      <c r="P211" s="39">
        <f>6123.33*B229</f>
        <v>269402.02668</v>
      </c>
      <c r="Q211" s="39">
        <f>30616.65*B229</f>
        <v>1347010.1334000002</v>
      </c>
    </row>
    <row r="212" spans="1:17" ht="12.75">
      <c r="A212" s="108"/>
      <c r="B212" s="104">
        <v>36881</v>
      </c>
      <c r="C212" s="70" t="s">
        <v>40</v>
      </c>
      <c r="D212" s="39">
        <f>SUM(G212:Q212)</f>
        <v>307972000</v>
      </c>
      <c r="E212" s="71"/>
      <c r="F212" s="70" t="s">
        <v>47</v>
      </c>
      <c r="G212" s="39"/>
      <c r="H212" s="39"/>
      <c r="I212" s="39"/>
      <c r="J212" s="39">
        <f>700000*B229</f>
        <v>30797200</v>
      </c>
      <c r="K212" s="39">
        <f>700000*B229</f>
        <v>30797200</v>
      </c>
      <c r="L212" s="39">
        <f>700000*B229</f>
        <v>30797200</v>
      </c>
      <c r="M212" s="39">
        <f>700000*B229</f>
        <v>30797200</v>
      </c>
      <c r="N212" s="39">
        <f>700000*B229</f>
        <v>30797200</v>
      </c>
      <c r="O212" s="39">
        <f>700000*B229</f>
        <v>30797200</v>
      </c>
      <c r="P212" s="39">
        <f>700000*B229</f>
        <v>30797200</v>
      </c>
      <c r="Q212" s="39">
        <f>2100000*B229</f>
        <v>92391600</v>
      </c>
    </row>
    <row r="213" spans="1:17" ht="13.5" thickBot="1">
      <c r="A213" s="106"/>
      <c r="B213" s="107"/>
      <c r="C213" s="13"/>
      <c r="D213" s="13"/>
      <c r="E213" s="40">
        <f>SUM(G213:P213)</f>
        <v>588565.2892</v>
      </c>
      <c r="F213" s="14" t="s">
        <v>48</v>
      </c>
      <c r="G213" s="40">
        <f>1337.77*B229</f>
        <v>58856.528920000004</v>
      </c>
      <c r="H213" s="40">
        <f>1337.77*B229</f>
        <v>58856.528920000004</v>
      </c>
      <c r="I213" s="40">
        <f>1337.77*B229</f>
        <v>58856.528920000004</v>
      </c>
      <c r="J213" s="40">
        <f>1337.77*B229</f>
        <v>58856.528920000004</v>
      </c>
      <c r="K213" s="40">
        <f>1337.77*B229</f>
        <v>58856.528920000004</v>
      </c>
      <c r="L213" s="40">
        <f>1337.77*B229</f>
        <v>58856.528920000004</v>
      </c>
      <c r="M213" s="40">
        <f>1337.77*B229</f>
        <v>58856.528920000004</v>
      </c>
      <c r="N213" s="40">
        <f>1337.77*B229</f>
        <v>58856.528920000004</v>
      </c>
      <c r="O213" s="40">
        <f>1337.77*B229</f>
        <v>58856.528920000004</v>
      </c>
      <c r="P213" s="40">
        <f>1337.77*B229</f>
        <v>58856.528920000004</v>
      </c>
      <c r="Q213" s="40"/>
    </row>
    <row r="214" spans="1:22" s="2" customFormat="1" ht="13.5" thickTop="1">
      <c r="A214" s="52" t="s">
        <v>8</v>
      </c>
      <c r="B214" s="49"/>
      <c r="C214" s="49"/>
      <c r="D214" s="50">
        <f>SUM(D208:D213)</f>
        <v>2814293125</v>
      </c>
      <c r="E214" s="50">
        <f>SUM(E208:E213)</f>
        <v>194396491.36985004</v>
      </c>
      <c r="F214" s="49"/>
      <c r="G214" s="50">
        <f aca="true" t="shared" si="11" ref="G214:Q214">SUM(G208:G213)</f>
        <v>186786386.28125</v>
      </c>
      <c r="H214" s="50">
        <f t="shared" si="11"/>
        <v>180459667.30629998</v>
      </c>
      <c r="I214" s="50">
        <f t="shared" si="11"/>
        <v>174132948.55629998</v>
      </c>
      <c r="J214" s="50">
        <f t="shared" si="11"/>
        <v>295394630.03125</v>
      </c>
      <c r="K214" s="50">
        <f t="shared" si="11"/>
        <v>289067911.0563</v>
      </c>
      <c r="L214" s="50">
        <f t="shared" si="11"/>
        <v>282741192.53125</v>
      </c>
      <c r="M214" s="50">
        <f t="shared" si="11"/>
        <v>276414473.5563</v>
      </c>
      <c r="N214" s="50">
        <f t="shared" si="11"/>
        <v>199790879.80629998</v>
      </c>
      <c r="O214" s="50">
        <f t="shared" si="11"/>
        <v>127916658.55559999</v>
      </c>
      <c r="P214" s="50">
        <f t="shared" si="11"/>
        <v>127916658.55559999</v>
      </c>
      <c r="Q214" s="50">
        <f t="shared" si="11"/>
        <v>868068210.1334</v>
      </c>
      <c r="V214" s="109"/>
    </row>
    <row r="215" spans="1:22" s="1" customFormat="1" ht="13.5" thickBot="1">
      <c r="A215" s="58"/>
      <c r="B215" s="56"/>
      <c r="C215" s="56"/>
      <c r="D215" s="56"/>
      <c r="E215" s="56"/>
      <c r="F215" s="56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V215" s="110"/>
    </row>
    <row r="216" spans="1:17" s="1" customFormat="1" ht="12.75">
      <c r="A216" s="52"/>
      <c r="B216" s="11"/>
      <c r="C216" s="11"/>
      <c r="D216" s="11"/>
      <c r="E216" s="11"/>
      <c r="F216" s="11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</row>
    <row r="217" spans="1:17" s="51" customFormat="1" ht="13.5" thickBot="1">
      <c r="A217" s="88"/>
      <c r="B217" s="88"/>
      <c r="C217" s="88"/>
      <c r="D217" s="86"/>
      <c r="E217" s="86"/>
      <c r="F217" s="88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</row>
    <row r="218" spans="1:17" s="51" customFormat="1" ht="15">
      <c r="A218" s="111" t="s">
        <v>71</v>
      </c>
      <c r="B218" s="8"/>
      <c r="C218" s="8"/>
      <c r="D218" s="50"/>
      <c r="E218" s="50"/>
      <c r="F218" s="49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1:17" s="51" customFormat="1" ht="12.75">
      <c r="A219" s="74"/>
      <c r="B219" s="70"/>
      <c r="C219" s="70"/>
      <c r="D219" s="82"/>
      <c r="E219" s="82"/>
      <c r="F219" s="75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1:17" s="51" customFormat="1" ht="12.75">
      <c r="A220" s="81" t="s">
        <v>72</v>
      </c>
      <c r="B220" s="6">
        <v>33316</v>
      </c>
      <c r="C220" s="5" t="s">
        <v>39</v>
      </c>
      <c r="D220" s="39"/>
      <c r="E220" s="76"/>
      <c r="F220" s="77" t="s">
        <v>47</v>
      </c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</row>
    <row r="221" spans="1:17" s="51" customFormat="1" ht="13.5" thickBot="1">
      <c r="A221" s="94"/>
      <c r="B221" s="14"/>
      <c r="C221" s="14"/>
      <c r="D221" s="84"/>
      <c r="E221" s="40">
        <f>SUM(G221:Q221)</f>
        <v>774769884.63</v>
      </c>
      <c r="F221" s="63" t="s">
        <v>48</v>
      </c>
      <c r="G221" s="84">
        <v>774769884.63</v>
      </c>
      <c r="H221" s="84"/>
      <c r="I221" s="84"/>
      <c r="J221" s="84"/>
      <c r="K221" s="84"/>
      <c r="L221" s="84"/>
      <c r="M221" s="84"/>
      <c r="N221" s="84"/>
      <c r="O221" s="84"/>
      <c r="P221" s="84"/>
      <c r="Q221" s="84"/>
    </row>
    <row r="222" spans="1:17" s="51" customFormat="1" ht="13.5" thickTop="1">
      <c r="A222" s="92" t="s">
        <v>8</v>
      </c>
      <c r="B222" s="8"/>
      <c r="C222" s="8"/>
      <c r="D222" s="50"/>
      <c r="E222" s="82">
        <f>SUM(E220:E221)</f>
        <v>774769884.63</v>
      </c>
      <c r="F222" s="49"/>
      <c r="G222" s="82">
        <f>SUM(G220:G221)</f>
        <v>774769884.63</v>
      </c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1:17" ht="13.5" thickBot="1">
      <c r="A223" s="35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5.75" thickBot="1">
      <c r="A224" s="87" t="s">
        <v>66</v>
      </c>
      <c r="B224" s="33"/>
      <c r="C224" s="33"/>
      <c r="D224" s="85">
        <f>D33+D45+D73+D98+D117+D125+D129+D140+D151+D160+D165+D172+D214+D177+D182+D190+D195+D200+D205+D222</f>
        <v>112887368747.84782</v>
      </c>
      <c r="E224" s="85">
        <f>E33+E45+E73+E98+E117+E125+E129+E140+E151+E160+E165+E172+E214+E177+E182+E190+E195+E200+E205+E222</f>
        <v>35068402918.37745</v>
      </c>
      <c r="F224" s="85"/>
      <c r="G224" s="85">
        <f aca="true" t="shared" si="12" ref="G224:Q224">G33+G45+G73+G98+G117+G125+G129+G140+G151+G160+G165+G172+G214+G177+G182+G190+G195+G200+G205+G222</f>
        <v>26495747452.56184</v>
      </c>
      <c r="H224" s="85">
        <f t="shared" si="12"/>
        <v>19896147829.561024</v>
      </c>
      <c r="I224" s="85">
        <f t="shared" si="12"/>
        <v>15764695470.284538</v>
      </c>
      <c r="J224" s="85">
        <f t="shared" si="12"/>
        <v>13873087072.9182</v>
      </c>
      <c r="K224" s="85">
        <f t="shared" si="12"/>
        <v>19905060619.97102</v>
      </c>
      <c r="L224" s="85">
        <f t="shared" si="12"/>
        <v>23870158144.051037</v>
      </c>
      <c r="M224" s="85">
        <f t="shared" si="12"/>
        <v>15556695654.00237</v>
      </c>
      <c r="N224" s="85">
        <f t="shared" si="12"/>
        <v>3755589034.8378906</v>
      </c>
      <c r="O224" s="85">
        <f t="shared" si="12"/>
        <v>2053494767.5901496</v>
      </c>
      <c r="P224" s="85">
        <f t="shared" si="12"/>
        <v>1778390461.28316</v>
      </c>
      <c r="Q224" s="85">
        <f t="shared" si="12"/>
        <v>5006705159.164041</v>
      </c>
    </row>
    <row r="225" ht="12.75">
      <c r="A225" t="s">
        <v>84</v>
      </c>
    </row>
    <row r="226" spans="1:5" ht="12.75">
      <c r="A226" t="s">
        <v>36</v>
      </c>
      <c r="B226">
        <v>22.495</v>
      </c>
      <c r="E226" s="59"/>
    </row>
    <row r="227" spans="1:5" ht="12.75">
      <c r="A227" t="s">
        <v>38</v>
      </c>
      <c r="B227">
        <v>47.389</v>
      </c>
      <c r="E227" s="59"/>
    </row>
    <row r="228" spans="1:2" ht="12.75">
      <c r="A228" t="s">
        <v>45</v>
      </c>
      <c r="B228">
        <v>1.254</v>
      </c>
    </row>
    <row r="229" spans="1:2" ht="12.75">
      <c r="A229" t="s">
        <v>40</v>
      </c>
      <c r="B229">
        <v>43.996</v>
      </c>
    </row>
    <row r="230" spans="1:2" ht="12.75">
      <c r="A230" t="s">
        <v>37</v>
      </c>
      <c r="B230">
        <v>3.197</v>
      </c>
    </row>
    <row r="231" spans="1:2" ht="12.75">
      <c r="A231" t="s">
        <v>44</v>
      </c>
      <c r="B231">
        <v>6.707</v>
      </c>
    </row>
    <row r="232" spans="1:2" ht="12.75">
      <c r="A232" t="s">
        <v>42</v>
      </c>
      <c r="B232">
        <v>28.82</v>
      </c>
    </row>
    <row r="233" spans="1:2" ht="12.75">
      <c r="A233" t="s">
        <v>43</v>
      </c>
      <c r="B233">
        <v>0.41397</v>
      </c>
    </row>
    <row r="235" spans="1:2" ht="12.75">
      <c r="A235" t="s">
        <v>39</v>
      </c>
      <c r="B235">
        <v>1</v>
      </c>
    </row>
    <row r="238" ht="12.75">
      <c r="A238" s="96"/>
    </row>
    <row r="239" ht="12.75">
      <c r="A239" s="96"/>
    </row>
    <row r="241" ht="12.75">
      <c r="A241" s="96"/>
    </row>
  </sheetData>
  <printOptions/>
  <pageMargins left="0.75" right="0.75" top="1" bottom="1" header="0.4921259845" footer="0.4921259845"/>
  <pageSetup horizontalDpi="180" verticalDpi="180" orientation="landscape" paperSize="9" scale="54" r:id="rId1"/>
  <headerFooter alignWithMargins="0">
    <oddHeader>&amp;C&amp;"Arial CE,Tučné"&amp;12Prehľad štátnych záruk - splátkový kalendár- tabuľka č. 1&amp;"Arial CE,Normálne"
&amp;"Arial CE,Tučné"str.4</oddHeader>
  </headerFooter>
  <rowBreaks count="3" manualBreakCount="3">
    <brk id="64" max="255" man="1"/>
    <brk id="129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2001-02-09T14:08:48Z</cp:lastPrinted>
  <dcterms:created xsi:type="dcterms:W3CDTF">1999-11-30T08:07:18Z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