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00" activeTab="0"/>
  </bookViews>
  <sheets>
    <sheet name="Vysokoškolská 2016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<sst xmlns="http://schemas.openxmlformats.org/spreadsheetml/2006/main" count="16" uniqueCount="15">
  <si>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Stupnica platových taríf podľa platových tried a platových stupňov</t>
  </si>
  <si>
    <t>do 2</t>
  </si>
  <si>
    <t>do 4</t>
  </si>
  <si>
    <t>do 6</t>
  </si>
  <si>
    <t>do 9</t>
  </si>
  <si>
    <t>do 12</t>
  </si>
  <si>
    <t>do 15</t>
  </si>
  <si>
    <t>do 18</t>
  </si>
  <si>
    <t>do 21</t>
  </si>
  <si>
    <t>do 24</t>
  </si>
  <si>
    <t>do 28</t>
  </si>
  <si>
    <t>do 32</t>
  </si>
  <si>
    <t>nad 32</t>
  </si>
  <si>
    <r>
      <t xml:space="preserve">            </t>
    </r>
    <r>
      <rPr>
        <b/>
        <sz val="14"/>
        <color indexed="8"/>
        <rFont val="Times New Roman"/>
        <family val="1"/>
      </rPr>
      <t>P   l   a   t   o   v   á          t   r   i   e   d   a</t>
    </r>
  </si>
  <si>
    <t xml:space="preserve">    P   l   a   t   o   v   á          t   r   i   e   d   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</si>
</sst>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1"/>
    </font>
    <font>
      <u val="single"/>
      <sz val="10"/>
      <color indexed="36"/>
      <name val="Arial CE"/>
      <family val="0"/>
    </font>
    <font>
      <sz val="16"/>
      <name val="Courier"/>
      <family val="3"/>
    </font>
    <font>
      <sz val="20"/>
      <name val="Arial CE"/>
      <family val="2"/>
    </font>
    <font>
      <sz val="11"/>
      <name val="Courier"/>
      <family val="1"/>
    </font>
    <font>
      <sz val="11"/>
      <color indexed="8"/>
      <name val="Courier"/>
      <family val="1"/>
    </font>
    <font>
      <b/>
      <sz val="11"/>
      <color indexed="8"/>
      <name val="Courier New CE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Times New Roman"/>
      <family val="1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b/>
      <sz val="13"/>
      <color indexed="8"/>
      <name val="Arial CE"/>
      <family val="0"/>
    </font>
    <font>
      <sz val="12"/>
      <color indexed="8"/>
      <name val="Times New Roman CE"/>
      <family val="0"/>
    </font>
    <font>
      <b/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>
      <alignment/>
      <protection/>
    </xf>
    <xf numFmtId="172" fontId="5" fillId="0" borderId="0" xfId="45" applyFont="1" applyAlignment="1">
      <alignment vertical="center"/>
      <protection/>
    </xf>
    <xf numFmtId="172" fontId="6" fillId="0" borderId="0" xfId="45" applyFont="1">
      <alignment/>
      <protection/>
    </xf>
    <xf numFmtId="172" fontId="7" fillId="0" borderId="0" xfId="45" applyFont="1" applyFill="1" applyAlignment="1">
      <alignment horizontal="left"/>
      <protection/>
    </xf>
    <xf numFmtId="172" fontId="6" fillId="0" borderId="0" xfId="45" applyFont="1" applyBorder="1">
      <alignment/>
      <protection/>
    </xf>
    <xf numFmtId="172" fontId="7" fillId="0" borderId="10" xfId="45" applyFont="1" applyFill="1" applyBorder="1">
      <alignment/>
      <protection/>
    </xf>
    <xf numFmtId="172" fontId="7" fillId="0" borderId="11" xfId="45" applyFont="1" applyFill="1" applyBorder="1">
      <alignment/>
      <protection/>
    </xf>
    <xf numFmtId="172" fontId="7" fillId="0" borderId="12" xfId="45" applyFont="1" applyFill="1" applyBorder="1" applyAlignment="1">
      <alignment horizontal="left"/>
      <protection/>
    </xf>
    <xf numFmtId="172" fontId="7" fillId="0" borderId="13" xfId="45" applyFont="1" applyFill="1" applyBorder="1" applyAlignment="1">
      <alignment horizontal="left"/>
      <protection/>
    </xf>
    <xf numFmtId="172" fontId="8" fillId="0" borderId="13" xfId="45" applyNumberFormat="1" applyFont="1" applyFill="1" applyBorder="1" applyAlignment="1" applyProtection="1">
      <alignment horizontal="left" vertical="center"/>
      <protection/>
    </xf>
    <xf numFmtId="172" fontId="7" fillId="0" borderId="14" xfId="45" applyFont="1" applyFill="1" applyBorder="1" applyAlignment="1">
      <alignment horizontal="left"/>
      <protection/>
    </xf>
    <xf numFmtId="3" fontId="9" fillId="33" borderId="15" xfId="0" applyNumberFormat="1" applyFont="1" applyFill="1" applyBorder="1" applyAlignment="1">
      <alignment horizontal="center" wrapText="1"/>
    </xf>
    <xf numFmtId="3" fontId="9" fillId="33" borderId="16" xfId="0" applyNumberFormat="1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wrapText="1"/>
    </xf>
    <xf numFmtId="3" fontId="9" fillId="33" borderId="18" xfId="0" applyNumberFormat="1" applyFont="1" applyFill="1" applyBorder="1" applyAlignment="1">
      <alignment horizontal="center" wrapText="1"/>
    </xf>
    <xf numFmtId="3" fontId="9" fillId="33" borderId="19" xfId="0" applyNumberFormat="1" applyFont="1" applyFill="1" applyBorder="1" applyAlignment="1">
      <alignment horizontal="center" wrapText="1"/>
    </xf>
    <xf numFmtId="3" fontId="9" fillId="33" borderId="20" xfId="0" applyNumberFormat="1" applyFont="1" applyFill="1" applyBorder="1" applyAlignment="1">
      <alignment horizontal="center" wrapText="1"/>
    </xf>
    <xf numFmtId="172" fontId="10" fillId="0" borderId="11" xfId="45" applyNumberFormat="1" applyFont="1" applyFill="1" applyBorder="1" applyAlignment="1" applyProtection="1">
      <alignment horizontal="left"/>
      <protection/>
    </xf>
    <xf numFmtId="172" fontId="11" fillId="0" borderId="11" xfId="45" applyFont="1" applyBorder="1">
      <alignment/>
      <protection/>
    </xf>
    <xf numFmtId="172" fontId="9" fillId="0" borderId="21" xfId="45" applyNumberFormat="1" applyFont="1" applyFill="1" applyBorder="1" applyAlignment="1" applyProtection="1">
      <alignment horizontal="center"/>
      <protection/>
    </xf>
    <xf numFmtId="172" fontId="7" fillId="0" borderId="13" xfId="45" applyFont="1" applyFill="1" applyBorder="1">
      <alignment/>
      <protection/>
    </xf>
    <xf numFmtId="4" fontId="9" fillId="33" borderId="22" xfId="0" applyNumberFormat="1" applyFont="1" applyFill="1" applyBorder="1" applyAlignment="1">
      <alignment horizontal="center" wrapText="1"/>
    </xf>
    <xf numFmtId="4" fontId="9" fillId="33" borderId="23" xfId="0" applyNumberFormat="1" applyFont="1" applyFill="1" applyBorder="1" applyAlignment="1">
      <alignment horizontal="center" wrapText="1"/>
    </xf>
    <xf numFmtId="4" fontId="9" fillId="33" borderId="14" xfId="0" applyNumberFormat="1" applyFont="1" applyFill="1" applyBorder="1" applyAlignment="1">
      <alignment horizontal="center" wrapText="1"/>
    </xf>
    <xf numFmtId="4" fontId="9" fillId="33" borderId="24" xfId="0" applyNumberFormat="1" applyFont="1" applyFill="1" applyBorder="1" applyAlignment="1">
      <alignment horizontal="center" wrapText="1"/>
    </xf>
    <xf numFmtId="4" fontId="9" fillId="33" borderId="25" xfId="0" applyNumberFormat="1" applyFont="1" applyFill="1" applyBorder="1" applyAlignment="1">
      <alignment horizontal="center" wrapText="1"/>
    </xf>
    <xf numFmtId="4" fontId="9" fillId="33" borderId="26" xfId="0" applyNumberFormat="1" applyFont="1" applyFill="1" applyBorder="1" applyAlignment="1">
      <alignment horizontal="center" wrapText="1"/>
    </xf>
    <xf numFmtId="172" fontId="7" fillId="0" borderId="27" xfId="45" applyFont="1" applyFill="1" applyBorder="1">
      <alignment/>
      <protection/>
    </xf>
    <xf numFmtId="172" fontId="7" fillId="0" borderId="28" xfId="45" applyFont="1" applyFill="1" applyBorder="1">
      <alignment/>
      <protection/>
    </xf>
    <xf numFmtId="172" fontId="7" fillId="0" borderId="29" xfId="45" applyFont="1" applyFill="1" applyBorder="1">
      <alignment/>
      <protection/>
    </xf>
    <xf numFmtId="172" fontId="7" fillId="0" borderId="30" xfId="45" applyFont="1" applyFill="1" applyBorder="1">
      <alignment/>
      <protection/>
    </xf>
    <xf numFmtId="4" fontId="53" fillId="33" borderId="26" xfId="0" applyNumberFormat="1" applyFont="1" applyFill="1" applyBorder="1" applyAlignment="1">
      <alignment horizontal="center" wrapText="1"/>
    </xf>
    <xf numFmtId="172" fontId="2" fillId="0" borderId="31" xfId="45" applyBorder="1">
      <alignment/>
      <protection/>
    </xf>
    <xf numFmtId="2" fontId="12" fillId="0" borderId="32" xfId="45" applyNumberFormat="1" applyFont="1" applyBorder="1" applyAlignment="1">
      <alignment horizontal="center"/>
      <protection/>
    </xf>
    <xf numFmtId="2" fontId="12" fillId="0" borderId="30" xfId="45" applyNumberFormat="1" applyFont="1" applyBorder="1" applyAlignment="1">
      <alignment horizontal="center"/>
      <protection/>
    </xf>
    <xf numFmtId="4" fontId="12" fillId="33" borderId="23" xfId="0" applyNumberFormat="1" applyFont="1" applyFill="1" applyBorder="1" applyAlignment="1">
      <alignment horizontal="center" wrapText="1"/>
    </xf>
    <xf numFmtId="4" fontId="12" fillId="33" borderId="33" xfId="0" applyNumberFormat="1" applyFont="1" applyFill="1" applyBorder="1" applyAlignment="1">
      <alignment horizontal="center" wrapText="1"/>
    </xf>
    <xf numFmtId="4" fontId="12" fillId="33" borderId="32" xfId="0" applyNumberFormat="1" applyFont="1" applyFill="1" applyBorder="1" applyAlignment="1">
      <alignment horizontal="center" wrapText="1"/>
    </xf>
    <xf numFmtId="172" fontId="2" fillId="0" borderId="0" xfId="45" applyFont="1" applyBorder="1">
      <alignment/>
      <protection/>
    </xf>
    <xf numFmtId="172" fontId="2" fillId="0" borderId="34" xfId="45" applyFont="1" applyBorder="1">
      <alignment/>
      <protection/>
    </xf>
    <xf numFmtId="172" fontId="2" fillId="0" borderId="35" xfId="45" applyFont="1" applyBorder="1">
      <alignment/>
      <protection/>
    </xf>
    <xf numFmtId="2" fontId="12" fillId="0" borderId="36" xfId="45" applyNumberFormat="1" applyFont="1" applyBorder="1" applyAlignment="1">
      <alignment horizontal="center"/>
      <protection/>
    </xf>
    <xf numFmtId="172" fontId="9" fillId="0" borderId="21" xfId="45" applyNumberFormat="1" applyFont="1" applyFill="1" applyBorder="1" applyAlignment="1" applyProtection="1">
      <alignment horizontal="center" vertical="center"/>
      <protection/>
    </xf>
    <xf numFmtId="172" fontId="2" fillId="0" borderId="0" xfId="45" applyAlignment="1">
      <alignment vertical="center"/>
      <protection/>
    </xf>
    <xf numFmtId="172" fontId="12" fillId="0" borderId="0" xfId="45" applyFont="1" applyAlignment="1">
      <alignment vertical="center"/>
      <protection/>
    </xf>
    <xf numFmtId="2" fontId="12" fillId="0" borderId="37" xfId="45" applyNumberFormat="1" applyFont="1" applyBorder="1" applyAlignment="1">
      <alignment horizontal="center"/>
      <protection/>
    </xf>
    <xf numFmtId="172" fontId="10" fillId="0" borderId="13" xfId="45" applyNumberFormat="1" applyFont="1" applyFill="1" applyBorder="1" applyAlignment="1" applyProtection="1">
      <alignment horizontal="left" vertical="center"/>
      <protection/>
    </xf>
    <xf numFmtId="172" fontId="10" fillId="0" borderId="13" xfId="45" applyFont="1" applyFill="1" applyBorder="1" applyAlignment="1">
      <alignment horizontal="left"/>
      <protection/>
    </xf>
    <xf numFmtId="172" fontId="12" fillId="0" borderId="21" xfId="45" applyNumberFormat="1" applyFont="1" applyFill="1" applyBorder="1" applyAlignment="1" applyProtection="1">
      <alignment horizontal="center" vertical="center"/>
      <protection/>
    </xf>
    <xf numFmtId="172" fontId="12" fillId="0" borderId="38" xfId="45" applyNumberFormat="1" applyFont="1" applyFill="1" applyBorder="1" applyAlignment="1" applyProtection="1">
      <alignment horizontal="center" vertical="center"/>
      <protection/>
    </xf>
    <xf numFmtId="172" fontId="12" fillId="0" borderId="29" xfId="45" applyNumberFormat="1" applyFont="1" applyFill="1" applyBorder="1" applyAlignment="1" applyProtection="1">
      <alignment vertical="center"/>
      <protection/>
    </xf>
    <xf numFmtId="2" fontId="12" fillId="0" borderId="23" xfId="45" applyNumberFormat="1" applyFont="1" applyBorder="1" applyAlignment="1">
      <alignment horizontal="center" vertical="center"/>
      <protection/>
    </xf>
    <xf numFmtId="172" fontId="2" fillId="0" borderId="39" xfId="45" applyFont="1" applyBorder="1">
      <alignment/>
      <protection/>
    </xf>
    <xf numFmtId="4" fontId="12" fillId="33" borderId="24" xfId="0" applyNumberFormat="1" applyFont="1" applyFill="1" applyBorder="1" applyAlignment="1">
      <alignment horizontal="center" wrapText="1"/>
    </xf>
    <xf numFmtId="4" fontId="12" fillId="33" borderId="25" xfId="0" applyNumberFormat="1" applyFont="1" applyFill="1" applyBorder="1" applyAlignment="1">
      <alignment horizontal="center" wrapText="1"/>
    </xf>
    <xf numFmtId="4" fontId="12" fillId="33" borderId="40" xfId="0" applyNumberFormat="1" applyFont="1" applyFill="1" applyBorder="1" applyAlignment="1">
      <alignment horizontal="center" wrapText="1"/>
    </xf>
    <xf numFmtId="4" fontId="12" fillId="33" borderId="36" xfId="0" applyNumberFormat="1" applyFont="1" applyFill="1" applyBorder="1" applyAlignment="1">
      <alignment horizontal="center" wrapText="1"/>
    </xf>
    <xf numFmtId="172" fontId="2" fillId="0" borderId="41" xfId="45" applyFont="1" applyBorder="1">
      <alignment/>
      <protection/>
    </xf>
    <xf numFmtId="4" fontId="12" fillId="33" borderId="23" xfId="0" applyNumberFormat="1" applyFont="1" applyFill="1" applyBorder="1" applyAlignment="1">
      <alignment horizontal="center" vertical="center" wrapText="1"/>
    </xf>
    <xf numFmtId="4" fontId="12" fillId="33" borderId="33" xfId="0" applyNumberFormat="1" applyFont="1" applyFill="1" applyBorder="1" applyAlignment="1">
      <alignment horizontal="center" vertical="center" wrapText="1"/>
    </xf>
    <xf numFmtId="172" fontId="12" fillId="0" borderId="42" xfId="45" applyFont="1" applyBorder="1" applyAlignment="1">
      <alignment horizontal="center"/>
      <protection/>
    </xf>
    <xf numFmtId="172" fontId="53" fillId="0" borderId="21" xfId="45" applyNumberFormat="1" applyFont="1" applyFill="1" applyBorder="1" applyAlignment="1" applyProtection="1">
      <alignment horizontal="center" vertical="center"/>
      <protection/>
    </xf>
    <xf numFmtId="4" fontId="53" fillId="33" borderId="23" xfId="0" applyNumberFormat="1" applyFont="1" applyFill="1" applyBorder="1" applyAlignment="1">
      <alignment horizontal="center" vertical="center" wrapText="1"/>
    </xf>
    <xf numFmtId="4" fontId="53" fillId="33" borderId="33" xfId="0" applyNumberFormat="1" applyFont="1" applyFill="1" applyBorder="1" applyAlignment="1">
      <alignment horizontal="center" vertical="center" wrapText="1"/>
    </xf>
    <xf numFmtId="172" fontId="53" fillId="0" borderId="0" xfId="45" applyFont="1" applyAlignment="1">
      <alignment horizontal="center" vertical="center"/>
      <protection/>
    </xf>
    <xf numFmtId="172" fontId="53" fillId="0" borderId="34" xfId="45" applyFont="1" applyBorder="1" applyAlignment="1">
      <alignment horizontal="center" vertical="center"/>
      <protection/>
    </xf>
    <xf numFmtId="172" fontId="53" fillId="0" borderId="0" xfId="45" applyFont="1" applyBorder="1" applyAlignment="1">
      <alignment horizontal="center" vertical="center"/>
      <protection/>
    </xf>
    <xf numFmtId="172" fontId="53" fillId="0" borderId="31" xfId="45" applyFont="1" applyBorder="1" applyAlignment="1">
      <alignment horizontal="center" vertical="center"/>
      <protection/>
    </xf>
    <xf numFmtId="172" fontId="53" fillId="0" borderId="0" xfId="45" applyFont="1" applyBorder="1" applyAlignment="1">
      <alignment horizontal="center"/>
      <protection/>
    </xf>
    <xf numFmtId="2" fontId="53" fillId="0" borderId="0" xfId="45" applyNumberFormat="1" applyFont="1" applyBorder="1" applyAlignment="1">
      <alignment horizontal="center" vertical="center"/>
      <protection/>
    </xf>
    <xf numFmtId="172" fontId="12" fillId="0" borderId="0" xfId="45" applyFont="1" applyAlignment="1">
      <alignment horizontal="center" vertical="center"/>
      <protection/>
    </xf>
    <xf numFmtId="2" fontId="12" fillId="0" borderId="43" xfId="45" applyNumberFormat="1" applyFont="1" applyBorder="1" applyAlignment="1">
      <alignment horizontal="center" vertical="center"/>
      <protection/>
    </xf>
    <xf numFmtId="2" fontId="53" fillId="0" borderId="43" xfId="45" applyNumberFormat="1" applyFont="1" applyBorder="1" applyAlignment="1">
      <alignment horizontal="center" vertical="center"/>
      <protection/>
    </xf>
    <xf numFmtId="4" fontId="12" fillId="33" borderId="25" xfId="0" applyNumberFormat="1" applyFont="1" applyFill="1" applyBorder="1" applyAlignment="1">
      <alignment horizontal="center" vertical="center" wrapText="1"/>
    </xf>
    <xf numFmtId="4" fontId="12" fillId="33" borderId="44" xfId="0" applyNumberFormat="1" applyFont="1" applyFill="1" applyBorder="1" applyAlignment="1">
      <alignment horizontal="center" vertical="center" wrapText="1"/>
    </xf>
    <xf numFmtId="4" fontId="12" fillId="33" borderId="45" xfId="0" applyNumberFormat="1" applyFont="1" applyFill="1" applyBorder="1" applyAlignment="1">
      <alignment horizontal="center" vertical="center" wrapText="1"/>
    </xf>
    <xf numFmtId="2" fontId="12" fillId="0" borderId="44" xfId="45" applyNumberFormat="1" applyFont="1" applyBorder="1" applyAlignment="1">
      <alignment horizontal="center" vertical="center"/>
      <protection/>
    </xf>
    <xf numFmtId="2" fontId="12" fillId="0" borderId="46" xfId="45" applyNumberFormat="1" applyFont="1" applyBorder="1" applyAlignment="1">
      <alignment horizontal="center" vertical="center"/>
      <protection/>
    </xf>
    <xf numFmtId="2" fontId="53" fillId="0" borderId="31" xfId="45" applyNumberFormat="1" applyFont="1" applyBorder="1" applyAlignment="1">
      <alignment horizontal="center" vertical="center"/>
      <protection/>
    </xf>
    <xf numFmtId="2" fontId="53" fillId="0" borderId="44" xfId="45" applyNumberFormat="1" applyFont="1" applyBorder="1" applyAlignment="1">
      <alignment horizontal="center" vertical="center"/>
      <protection/>
    </xf>
    <xf numFmtId="2" fontId="12" fillId="0" borderId="16" xfId="45" applyNumberFormat="1" applyFont="1" applyBorder="1" applyAlignment="1">
      <alignment horizontal="center" vertical="center"/>
      <protection/>
    </xf>
    <xf numFmtId="2" fontId="12" fillId="0" borderId="18" xfId="45" applyNumberFormat="1" applyFont="1" applyBorder="1" applyAlignment="1">
      <alignment horizontal="center" vertical="center"/>
      <protection/>
    </xf>
    <xf numFmtId="2" fontId="53" fillId="0" borderId="47" xfId="45" applyNumberFormat="1" applyFont="1" applyBorder="1" applyAlignment="1">
      <alignment horizontal="center" vertical="center"/>
      <protection/>
    </xf>
    <xf numFmtId="2" fontId="12" fillId="0" borderId="47" xfId="45" applyNumberFormat="1" applyFont="1" applyBorder="1" applyAlignment="1">
      <alignment horizontal="center" vertical="center"/>
      <protection/>
    </xf>
    <xf numFmtId="4" fontId="12" fillId="33" borderId="47" xfId="0" applyNumberFormat="1" applyFont="1" applyFill="1" applyBorder="1" applyAlignment="1">
      <alignment horizontal="center" vertical="center" wrapText="1"/>
    </xf>
    <xf numFmtId="4" fontId="12" fillId="33" borderId="48" xfId="0" applyNumberFormat="1" applyFont="1" applyFill="1" applyBorder="1" applyAlignment="1">
      <alignment horizontal="center" vertical="center" wrapText="1"/>
    </xf>
    <xf numFmtId="4" fontId="12" fillId="33" borderId="48" xfId="0" applyNumberFormat="1" applyFont="1" applyFill="1" applyBorder="1" applyAlignment="1">
      <alignment horizontal="center" wrapText="1"/>
    </xf>
    <xf numFmtId="4" fontId="53" fillId="33" borderId="48" xfId="0" applyNumberFormat="1" applyFont="1" applyFill="1" applyBorder="1" applyAlignment="1">
      <alignment horizontal="center" vertical="center" wrapText="1"/>
    </xf>
    <xf numFmtId="4" fontId="53" fillId="33" borderId="25" xfId="0" applyNumberFormat="1" applyFont="1" applyFill="1" applyBorder="1" applyAlignment="1">
      <alignment horizontal="center" vertical="center" wrapText="1"/>
    </xf>
    <xf numFmtId="4" fontId="12" fillId="33" borderId="47" xfId="0" applyNumberFormat="1" applyFont="1" applyFill="1" applyBorder="1" applyAlignment="1">
      <alignment horizontal="center" wrapText="1"/>
    </xf>
    <xf numFmtId="4" fontId="53" fillId="33" borderId="47" xfId="0" applyNumberFormat="1" applyFont="1" applyFill="1" applyBorder="1" applyAlignment="1">
      <alignment horizontal="center" vertical="center" wrapText="1"/>
    </xf>
    <xf numFmtId="4" fontId="12" fillId="33" borderId="43" xfId="0" applyNumberFormat="1" applyFont="1" applyFill="1" applyBorder="1" applyAlignment="1">
      <alignment horizontal="center" vertical="center" wrapText="1"/>
    </xf>
    <xf numFmtId="4" fontId="12" fillId="33" borderId="44" xfId="0" applyNumberFormat="1" applyFont="1" applyFill="1" applyBorder="1" applyAlignment="1">
      <alignment horizontal="center" wrapText="1"/>
    </xf>
    <xf numFmtId="4" fontId="53" fillId="33" borderId="44" xfId="0" applyNumberFormat="1" applyFont="1" applyFill="1" applyBorder="1" applyAlignment="1">
      <alignment horizontal="center" vertical="center" wrapText="1"/>
    </xf>
    <xf numFmtId="4" fontId="12" fillId="33" borderId="43" xfId="0" applyNumberFormat="1" applyFont="1" applyFill="1" applyBorder="1" applyAlignment="1">
      <alignment horizontal="center" wrapText="1"/>
    </xf>
    <xf numFmtId="4" fontId="53" fillId="33" borderId="43" xfId="0" applyNumberFormat="1" applyFont="1" applyFill="1" applyBorder="1" applyAlignment="1">
      <alignment horizontal="center" vertical="center" wrapText="1"/>
    </xf>
    <xf numFmtId="4" fontId="12" fillId="33" borderId="45" xfId="0" applyNumberFormat="1" applyFont="1" applyFill="1" applyBorder="1" applyAlignment="1">
      <alignment horizontal="center" wrapText="1"/>
    </xf>
    <xf numFmtId="4" fontId="53" fillId="33" borderId="45" xfId="0" applyNumberFormat="1" applyFont="1" applyFill="1" applyBorder="1" applyAlignment="1">
      <alignment horizontal="center" vertical="center" wrapText="1"/>
    </xf>
    <xf numFmtId="4" fontId="53" fillId="33" borderId="40" xfId="0" applyNumberFormat="1" applyFont="1" applyFill="1" applyBorder="1" applyAlignment="1">
      <alignment horizontal="center" vertical="center" wrapText="1"/>
    </xf>
    <xf numFmtId="4" fontId="12" fillId="33" borderId="49" xfId="0" applyNumberFormat="1" applyFont="1" applyFill="1" applyBorder="1" applyAlignment="1">
      <alignment horizontal="center" wrapText="1"/>
    </xf>
    <xf numFmtId="4" fontId="53" fillId="33" borderId="49" xfId="0" applyNumberFormat="1" applyFont="1" applyFill="1" applyBorder="1" applyAlignment="1">
      <alignment horizontal="center" vertical="center" wrapText="1"/>
    </xf>
    <xf numFmtId="4" fontId="12" fillId="33" borderId="50" xfId="0" applyNumberFormat="1" applyFont="1" applyFill="1" applyBorder="1" applyAlignment="1">
      <alignment horizontal="center" wrapText="1"/>
    </xf>
    <xf numFmtId="4" fontId="53" fillId="33" borderId="50" xfId="0" applyNumberFormat="1" applyFont="1" applyFill="1" applyBorder="1" applyAlignment="1">
      <alignment horizontal="center" vertical="center" wrapText="1"/>
    </xf>
    <xf numFmtId="4" fontId="12" fillId="33" borderId="50" xfId="0" applyNumberFormat="1" applyFont="1" applyFill="1" applyBorder="1" applyAlignment="1">
      <alignment horizontal="center" vertical="center" wrapText="1"/>
    </xf>
    <xf numFmtId="4" fontId="12" fillId="33" borderId="40" xfId="0" applyNumberFormat="1" applyFont="1" applyFill="1" applyBorder="1" applyAlignment="1">
      <alignment horizontal="center" vertical="center" wrapText="1"/>
    </xf>
    <xf numFmtId="172" fontId="53" fillId="0" borderId="35" xfId="45" applyFont="1" applyBorder="1" applyAlignment="1">
      <alignment horizontal="center" vertical="center"/>
      <protection/>
    </xf>
    <xf numFmtId="4" fontId="12" fillId="33" borderId="49" xfId="0" applyNumberFormat="1" applyFont="1" applyFill="1" applyBorder="1" applyAlignment="1">
      <alignment horizontal="center" vertical="center" wrapText="1"/>
    </xf>
    <xf numFmtId="4" fontId="12" fillId="33" borderId="18" xfId="0" applyNumberFormat="1" applyFont="1" applyFill="1" applyBorder="1" applyAlignment="1">
      <alignment horizontal="center" wrapText="1"/>
    </xf>
    <xf numFmtId="172" fontId="2" fillId="0" borderId="51" xfId="45" applyFont="1" applyBorder="1">
      <alignment/>
      <protection/>
    </xf>
    <xf numFmtId="172" fontId="2" fillId="0" borderId="52" xfId="45" applyFont="1" applyBorder="1">
      <alignment/>
      <protection/>
    </xf>
    <xf numFmtId="172" fontId="53" fillId="0" borderId="52" xfId="45" applyFont="1" applyBorder="1" applyAlignment="1">
      <alignment horizontal="center" vertical="center"/>
      <protection/>
    </xf>
    <xf numFmtId="2" fontId="12" fillId="0" borderId="38" xfId="45" applyNumberFormat="1" applyFont="1" applyBorder="1" applyAlignment="1">
      <alignment horizontal="center" vertical="center"/>
      <protection/>
    </xf>
    <xf numFmtId="172" fontId="12" fillId="0" borderId="31" xfId="45" applyFont="1" applyBorder="1" applyAlignment="1">
      <alignment horizontal="center" vertical="center"/>
      <protection/>
    </xf>
    <xf numFmtId="2" fontId="12" fillId="0" borderId="0" xfId="45" applyNumberFormat="1" applyFont="1" applyAlignment="1">
      <alignment horizontal="center" vertical="center"/>
      <protection/>
    </xf>
    <xf numFmtId="2" fontId="12" fillId="0" borderId="42" xfId="45" applyNumberFormat="1" applyFont="1" applyBorder="1" applyAlignment="1">
      <alignment horizontal="center" vertical="center"/>
      <protection/>
    </xf>
    <xf numFmtId="2" fontId="12" fillId="0" borderId="53" xfId="45" applyNumberFormat="1" applyFont="1" applyBorder="1" applyAlignment="1">
      <alignment horizontal="center" vertical="center"/>
      <protection/>
    </xf>
    <xf numFmtId="172" fontId="12" fillId="0" borderId="34" xfId="45" applyNumberFormat="1" applyFont="1" applyFill="1" applyBorder="1" applyAlignment="1" applyProtection="1">
      <alignment horizontal="center" vertical="center"/>
      <protection/>
    </xf>
    <xf numFmtId="172" fontId="53" fillId="0" borderId="34" xfId="45" applyNumberFormat="1" applyFont="1" applyFill="1" applyBorder="1" applyAlignment="1" applyProtection="1">
      <alignment horizontal="center" vertical="center"/>
      <protection/>
    </xf>
    <xf numFmtId="172" fontId="12" fillId="0" borderId="0" xfId="45" applyNumberFormat="1" applyFont="1" applyFill="1" applyBorder="1" applyAlignment="1" applyProtection="1">
      <alignment horizontal="center" vertical="center"/>
      <protection/>
    </xf>
    <xf numFmtId="172" fontId="53" fillId="0" borderId="0" xfId="45" applyNumberFormat="1" applyFont="1" applyFill="1" applyBorder="1" applyAlignment="1" applyProtection="1">
      <alignment horizontal="center" vertical="center"/>
      <protection/>
    </xf>
    <xf numFmtId="172" fontId="12" fillId="0" borderId="25" xfId="45" applyNumberFormat="1" applyFont="1" applyFill="1" applyBorder="1" applyAlignment="1" applyProtection="1">
      <alignment horizontal="center" vertical="center"/>
      <protection/>
    </xf>
    <xf numFmtId="172" fontId="12" fillId="0" borderId="42" xfId="45" applyFont="1" applyBorder="1" applyAlignment="1">
      <alignment horizontal="center" vertical="center"/>
      <protection/>
    </xf>
    <xf numFmtId="172" fontId="12" fillId="0" borderId="25" xfId="45" applyFont="1" applyBorder="1" applyAlignment="1">
      <alignment horizontal="center" vertical="center"/>
      <protection/>
    </xf>
    <xf numFmtId="172" fontId="12" fillId="0" borderId="46" xfId="45" applyFont="1" applyBorder="1" applyAlignment="1">
      <alignment horizontal="center" vertical="center"/>
      <protection/>
    </xf>
    <xf numFmtId="172" fontId="10" fillId="0" borderId="51" xfId="45" applyFont="1" applyFill="1" applyBorder="1" applyAlignment="1">
      <alignment horizontal="center"/>
      <protection/>
    </xf>
    <xf numFmtId="172" fontId="10" fillId="0" borderId="53" xfId="45" applyFont="1" applyFill="1" applyBorder="1" applyAlignment="1">
      <alignment horizontal="center"/>
      <protection/>
    </xf>
    <xf numFmtId="172" fontId="11" fillId="0" borderId="11" xfId="45" applyFont="1" applyBorder="1" applyAlignment="1">
      <alignment horizontal="center"/>
      <protection/>
    </xf>
    <xf numFmtId="172" fontId="11" fillId="0" borderId="54" xfId="45" applyFont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200275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800100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895350" y="2200275"/>
          <a:ext cx="7239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819150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200275"/>
          <a:ext cx="762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4" name="Text 1"/>
        <xdr:cNvSpPr txBox="1">
          <a:spLocks noChangeArrowheads="1"/>
        </xdr:cNvSpPr>
      </xdr:nvSpPr>
      <xdr:spPr>
        <a:xfrm>
          <a:off x="57150" y="2200275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800100</xdr:colOff>
      <xdr:row>6</xdr:row>
      <xdr:rowOff>180975</xdr:rowOff>
    </xdr:to>
    <xdr:sp>
      <xdr:nvSpPr>
        <xdr:cNvPr id="5" name="Text 2"/>
        <xdr:cNvSpPr txBox="1">
          <a:spLocks noChangeArrowheads="1"/>
        </xdr:cNvSpPr>
      </xdr:nvSpPr>
      <xdr:spPr>
        <a:xfrm>
          <a:off x="895350" y="2200275"/>
          <a:ext cx="7239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819150</xdr:colOff>
      <xdr:row>6</xdr:row>
      <xdr:rowOff>180975</xdr:rowOff>
    </xdr:to>
    <xdr:sp>
      <xdr:nvSpPr>
        <xdr:cNvPr id="6" name="Text 8"/>
        <xdr:cNvSpPr txBox="1">
          <a:spLocks noChangeArrowheads="1"/>
        </xdr:cNvSpPr>
      </xdr:nvSpPr>
      <xdr:spPr>
        <a:xfrm>
          <a:off x="57150" y="2200275"/>
          <a:ext cx="762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76200</xdr:colOff>
      <xdr:row>1</xdr:row>
      <xdr:rowOff>390525</xdr:rowOff>
    </xdr:from>
    <xdr:to>
      <xdr:col>97</xdr:col>
      <xdr:colOff>295275</xdr:colOff>
      <xdr:row>3</xdr:row>
      <xdr:rowOff>104775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76200" y="781050"/>
          <a:ext cx="12163425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Osobitná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stupnica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platových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taríf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výskumných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vývojových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zamestnancov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zdravotníckych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zamestnancov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752475</xdr:colOff>
      <xdr:row>20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895350" y="743902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10" name="Text 13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85</xdr:col>
      <xdr:colOff>0</xdr:colOff>
      <xdr:row>20</xdr:row>
      <xdr:rowOff>0</xdr:rowOff>
    </xdr:to>
    <xdr:sp>
      <xdr:nvSpPr>
        <xdr:cNvPr id="11" name="Text 15"/>
        <xdr:cNvSpPr txBox="1">
          <a:spLocks noChangeArrowheads="1"/>
        </xdr:cNvSpPr>
      </xdr:nvSpPr>
      <xdr:spPr>
        <a:xfrm>
          <a:off x="47625" y="7439025"/>
          <a:ext cx="9439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638175</xdr:colOff>
      <xdr:row>20</xdr:row>
      <xdr:rowOff>0</xdr:rowOff>
    </xdr:from>
    <xdr:to>
      <xdr:col>84</xdr:col>
      <xdr:colOff>657225</xdr:colOff>
      <xdr:row>20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6324600" y="7439025"/>
          <a:ext cx="3162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4</xdr:row>
      <xdr:rowOff>66675</xdr:rowOff>
    </xdr:from>
    <xdr:to>
      <xdr:col>85</xdr:col>
      <xdr:colOff>0</xdr:colOff>
      <xdr:row>6</xdr:row>
      <xdr:rowOff>180975</xdr:rowOff>
    </xdr:to>
    <xdr:sp>
      <xdr:nvSpPr>
        <xdr:cNvPr id="13" name="Text 17"/>
        <xdr:cNvSpPr txBox="1">
          <a:spLocks noChangeArrowheads="1"/>
        </xdr:cNvSpPr>
      </xdr:nvSpPr>
      <xdr:spPr>
        <a:xfrm>
          <a:off x="94869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85</xdr:col>
      <xdr:colOff>0</xdr:colOff>
      <xdr:row>4</xdr:row>
      <xdr:rowOff>66675</xdr:rowOff>
    </xdr:from>
    <xdr:to>
      <xdr:col>85</xdr:col>
      <xdr:colOff>0</xdr:colOff>
      <xdr:row>6</xdr:row>
      <xdr:rowOff>180975</xdr:rowOff>
    </xdr:to>
    <xdr:sp>
      <xdr:nvSpPr>
        <xdr:cNvPr id="14" name="Text 18"/>
        <xdr:cNvSpPr txBox="1">
          <a:spLocks noChangeArrowheads="1"/>
        </xdr:cNvSpPr>
      </xdr:nvSpPr>
      <xdr:spPr>
        <a:xfrm>
          <a:off x="94869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85</xdr:col>
      <xdr:colOff>0</xdr:colOff>
      <xdr:row>4</xdr:row>
      <xdr:rowOff>66675</xdr:rowOff>
    </xdr:from>
    <xdr:to>
      <xdr:col>85</xdr:col>
      <xdr:colOff>0</xdr:colOff>
      <xdr:row>6</xdr:row>
      <xdr:rowOff>180975</xdr:rowOff>
    </xdr:to>
    <xdr:sp>
      <xdr:nvSpPr>
        <xdr:cNvPr id="15" name="Text 19"/>
        <xdr:cNvSpPr txBox="1">
          <a:spLocks noChangeArrowheads="1"/>
        </xdr:cNvSpPr>
      </xdr:nvSpPr>
      <xdr:spPr>
        <a:xfrm>
          <a:off x="94869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85</xdr:col>
      <xdr:colOff>0</xdr:colOff>
      <xdr:row>1</xdr:row>
      <xdr:rowOff>542925</xdr:rowOff>
    </xdr:from>
    <xdr:to>
      <xdr:col>85</xdr:col>
      <xdr:colOff>0</xdr:colOff>
      <xdr:row>3</xdr:row>
      <xdr:rowOff>0</xdr:rowOff>
    </xdr:to>
    <xdr:sp>
      <xdr:nvSpPr>
        <xdr:cNvPr id="16" name="Text 20"/>
        <xdr:cNvSpPr txBox="1">
          <a:spLocks noChangeArrowheads="1"/>
        </xdr:cNvSpPr>
      </xdr:nvSpPr>
      <xdr:spPr>
        <a:xfrm>
          <a:off x="9486900" y="933450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85</xdr:col>
      <xdr:colOff>0</xdr:colOff>
      <xdr:row>1</xdr:row>
      <xdr:rowOff>66675</xdr:rowOff>
    </xdr:from>
    <xdr:to>
      <xdr:col>85</xdr:col>
      <xdr:colOff>0</xdr:colOff>
      <xdr:row>1</xdr:row>
      <xdr:rowOff>542925</xdr:rowOff>
    </xdr:to>
    <xdr:sp>
      <xdr:nvSpPr>
        <xdr:cNvPr id="17" name="Text 21"/>
        <xdr:cNvSpPr txBox="1">
          <a:spLocks noChangeArrowheads="1"/>
        </xdr:cNvSpPr>
      </xdr:nvSpPr>
      <xdr:spPr>
        <a:xfrm>
          <a:off x="9486900" y="45720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85</xdr:col>
      <xdr:colOff>0</xdr:colOff>
      <xdr:row>20</xdr:row>
      <xdr:rowOff>0</xdr:rowOff>
    </xdr:from>
    <xdr:to>
      <xdr:col>85</xdr:col>
      <xdr:colOff>0</xdr:colOff>
      <xdr:row>20</xdr:row>
      <xdr:rowOff>0</xdr:rowOff>
    </xdr:to>
    <xdr:sp>
      <xdr:nvSpPr>
        <xdr:cNvPr id="18" name="Text 22"/>
        <xdr:cNvSpPr txBox="1">
          <a:spLocks noChangeArrowheads="1"/>
        </xdr:cNvSpPr>
      </xdr:nvSpPr>
      <xdr:spPr>
        <a:xfrm>
          <a:off x="94869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85</xdr:col>
      <xdr:colOff>0</xdr:colOff>
      <xdr:row>20</xdr:row>
      <xdr:rowOff>0</xdr:rowOff>
    </xdr:from>
    <xdr:to>
      <xdr:col>85</xdr:col>
      <xdr:colOff>0</xdr:colOff>
      <xdr:row>20</xdr:row>
      <xdr:rowOff>0</xdr:rowOff>
    </xdr:to>
    <xdr:sp>
      <xdr:nvSpPr>
        <xdr:cNvPr id="19" name="Text 23"/>
        <xdr:cNvSpPr txBox="1">
          <a:spLocks noChangeArrowheads="1"/>
        </xdr:cNvSpPr>
      </xdr:nvSpPr>
      <xdr:spPr>
        <a:xfrm>
          <a:off x="94869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85</xdr:col>
      <xdr:colOff>0</xdr:colOff>
      <xdr:row>20</xdr:row>
      <xdr:rowOff>0</xdr:rowOff>
    </xdr:from>
    <xdr:to>
      <xdr:col>85</xdr:col>
      <xdr:colOff>0</xdr:colOff>
      <xdr:row>20</xdr:row>
      <xdr:rowOff>0</xdr:rowOff>
    </xdr:to>
    <xdr:sp>
      <xdr:nvSpPr>
        <xdr:cNvPr id="20" name="Text 24"/>
        <xdr:cNvSpPr txBox="1">
          <a:spLocks noChangeArrowheads="1"/>
        </xdr:cNvSpPr>
      </xdr:nvSpPr>
      <xdr:spPr>
        <a:xfrm>
          <a:off x="94869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85</xdr:col>
      <xdr:colOff>0</xdr:colOff>
      <xdr:row>20</xdr:row>
      <xdr:rowOff>0</xdr:rowOff>
    </xdr:from>
    <xdr:to>
      <xdr:col>85</xdr:col>
      <xdr:colOff>0</xdr:colOff>
      <xdr:row>20</xdr:row>
      <xdr:rowOff>0</xdr:rowOff>
    </xdr:to>
    <xdr:sp>
      <xdr:nvSpPr>
        <xdr:cNvPr id="21" name="Text 25"/>
        <xdr:cNvSpPr txBox="1">
          <a:spLocks noChangeArrowheads="1"/>
        </xdr:cNvSpPr>
      </xdr:nvSpPr>
      <xdr:spPr>
        <a:xfrm>
          <a:off x="94869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895350" y="74390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4" name="Text 8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5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895350" y="74390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7" name="Text 8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8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29" name="Text 2"/>
        <xdr:cNvSpPr txBox="1">
          <a:spLocks noChangeArrowheads="1"/>
        </xdr:cNvSpPr>
      </xdr:nvSpPr>
      <xdr:spPr>
        <a:xfrm>
          <a:off x="895350" y="74390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0" name="Text 8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2" name="Text 2"/>
        <xdr:cNvSpPr txBox="1">
          <a:spLocks noChangeArrowheads="1"/>
        </xdr:cNvSpPr>
      </xdr:nvSpPr>
      <xdr:spPr>
        <a:xfrm>
          <a:off x="895350" y="74390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3" name="Text 8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5" name="Text 2"/>
        <xdr:cNvSpPr txBox="1">
          <a:spLocks noChangeArrowheads="1"/>
        </xdr:cNvSpPr>
      </xdr:nvSpPr>
      <xdr:spPr>
        <a:xfrm>
          <a:off x="895350" y="74390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6" name="Text 8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4</xdr:row>
      <xdr:rowOff>66675</xdr:rowOff>
    </xdr:from>
    <xdr:to>
      <xdr:col>85</xdr:col>
      <xdr:colOff>0</xdr:colOff>
      <xdr:row>6</xdr:row>
      <xdr:rowOff>180975</xdr:rowOff>
    </xdr:to>
    <xdr:sp>
      <xdr:nvSpPr>
        <xdr:cNvPr id="37" name="Text 1"/>
        <xdr:cNvSpPr txBox="1">
          <a:spLocks noChangeArrowheads="1"/>
        </xdr:cNvSpPr>
      </xdr:nvSpPr>
      <xdr:spPr>
        <a:xfrm>
          <a:off x="94869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85</xdr:col>
      <xdr:colOff>0</xdr:colOff>
      <xdr:row>4</xdr:row>
      <xdr:rowOff>66675</xdr:rowOff>
    </xdr:from>
    <xdr:to>
      <xdr:col>85</xdr:col>
      <xdr:colOff>0</xdr:colOff>
      <xdr:row>6</xdr:row>
      <xdr:rowOff>180975</xdr:rowOff>
    </xdr:to>
    <xdr:sp>
      <xdr:nvSpPr>
        <xdr:cNvPr id="38" name="Text 2"/>
        <xdr:cNvSpPr txBox="1">
          <a:spLocks noChangeArrowheads="1"/>
        </xdr:cNvSpPr>
      </xdr:nvSpPr>
      <xdr:spPr>
        <a:xfrm>
          <a:off x="94869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85</xdr:col>
      <xdr:colOff>0</xdr:colOff>
      <xdr:row>4</xdr:row>
      <xdr:rowOff>66675</xdr:rowOff>
    </xdr:from>
    <xdr:to>
      <xdr:col>85</xdr:col>
      <xdr:colOff>0</xdr:colOff>
      <xdr:row>6</xdr:row>
      <xdr:rowOff>180975</xdr:rowOff>
    </xdr:to>
    <xdr:sp>
      <xdr:nvSpPr>
        <xdr:cNvPr id="39" name="Text 8"/>
        <xdr:cNvSpPr txBox="1">
          <a:spLocks noChangeArrowheads="1"/>
        </xdr:cNvSpPr>
      </xdr:nvSpPr>
      <xdr:spPr>
        <a:xfrm>
          <a:off x="94869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85</xdr:col>
      <xdr:colOff>0</xdr:colOff>
      <xdr:row>1</xdr:row>
      <xdr:rowOff>123825</xdr:rowOff>
    </xdr:from>
    <xdr:to>
      <xdr:col>85</xdr:col>
      <xdr:colOff>0</xdr:colOff>
      <xdr:row>1</xdr:row>
      <xdr:rowOff>533400</xdr:rowOff>
    </xdr:to>
    <xdr:sp>
      <xdr:nvSpPr>
        <xdr:cNvPr id="40" name="Text 9"/>
        <xdr:cNvSpPr txBox="1">
          <a:spLocks noChangeArrowheads="1"/>
        </xdr:cNvSpPr>
      </xdr:nvSpPr>
      <xdr:spPr>
        <a:xfrm>
          <a:off x="948690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85</xdr:col>
      <xdr:colOff>0</xdr:colOff>
      <xdr:row>4</xdr:row>
      <xdr:rowOff>66675</xdr:rowOff>
    </xdr:from>
    <xdr:to>
      <xdr:col>85</xdr:col>
      <xdr:colOff>0</xdr:colOff>
      <xdr:row>6</xdr:row>
      <xdr:rowOff>180975</xdr:rowOff>
    </xdr:to>
    <xdr:sp>
      <xdr:nvSpPr>
        <xdr:cNvPr id="41" name="Text 1"/>
        <xdr:cNvSpPr txBox="1">
          <a:spLocks noChangeArrowheads="1"/>
        </xdr:cNvSpPr>
      </xdr:nvSpPr>
      <xdr:spPr>
        <a:xfrm>
          <a:off x="94869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85</xdr:col>
      <xdr:colOff>0</xdr:colOff>
      <xdr:row>4</xdr:row>
      <xdr:rowOff>66675</xdr:rowOff>
    </xdr:from>
    <xdr:to>
      <xdr:col>85</xdr:col>
      <xdr:colOff>0</xdr:colOff>
      <xdr:row>6</xdr:row>
      <xdr:rowOff>180975</xdr:rowOff>
    </xdr:to>
    <xdr:sp>
      <xdr:nvSpPr>
        <xdr:cNvPr id="42" name="Text 2"/>
        <xdr:cNvSpPr txBox="1">
          <a:spLocks noChangeArrowheads="1"/>
        </xdr:cNvSpPr>
      </xdr:nvSpPr>
      <xdr:spPr>
        <a:xfrm>
          <a:off x="94869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85</xdr:col>
      <xdr:colOff>0</xdr:colOff>
      <xdr:row>4</xdr:row>
      <xdr:rowOff>66675</xdr:rowOff>
    </xdr:from>
    <xdr:to>
      <xdr:col>85</xdr:col>
      <xdr:colOff>0</xdr:colOff>
      <xdr:row>6</xdr:row>
      <xdr:rowOff>180975</xdr:rowOff>
    </xdr:to>
    <xdr:sp>
      <xdr:nvSpPr>
        <xdr:cNvPr id="43" name="Text 8"/>
        <xdr:cNvSpPr txBox="1">
          <a:spLocks noChangeArrowheads="1"/>
        </xdr:cNvSpPr>
      </xdr:nvSpPr>
      <xdr:spPr>
        <a:xfrm>
          <a:off x="948690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85</xdr:col>
      <xdr:colOff>0</xdr:colOff>
      <xdr:row>1</xdr:row>
      <xdr:rowOff>123825</xdr:rowOff>
    </xdr:from>
    <xdr:to>
      <xdr:col>85</xdr:col>
      <xdr:colOff>0</xdr:colOff>
      <xdr:row>1</xdr:row>
      <xdr:rowOff>533400</xdr:rowOff>
    </xdr:to>
    <xdr:sp>
      <xdr:nvSpPr>
        <xdr:cNvPr id="44" name="Text 9"/>
        <xdr:cNvSpPr txBox="1">
          <a:spLocks noChangeArrowheads="1"/>
        </xdr:cNvSpPr>
      </xdr:nvSpPr>
      <xdr:spPr>
        <a:xfrm>
          <a:off x="948690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85</xdr:col>
      <xdr:colOff>0</xdr:colOff>
      <xdr:row>1</xdr:row>
      <xdr:rowOff>723900</xdr:rowOff>
    </xdr:from>
    <xdr:to>
      <xdr:col>85</xdr:col>
      <xdr:colOff>0</xdr:colOff>
      <xdr:row>2</xdr:row>
      <xdr:rowOff>504825</xdr:rowOff>
    </xdr:to>
    <xdr:sp>
      <xdr:nvSpPr>
        <xdr:cNvPr id="45" name="Text 10"/>
        <xdr:cNvSpPr txBox="1">
          <a:spLocks noChangeArrowheads="1"/>
        </xdr:cNvSpPr>
      </xdr:nvSpPr>
      <xdr:spPr>
        <a:xfrm>
          <a:off x="9486900" y="1114425"/>
          <a:ext cx="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17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85</xdr:col>
      <xdr:colOff>0</xdr:colOff>
      <xdr:row>20</xdr:row>
      <xdr:rowOff>0</xdr:rowOff>
    </xdr:from>
    <xdr:to>
      <xdr:col>85</xdr:col>
      <xdr:colOff>0</xdr:colOff>
      <xdr:row>20</xdr:row>
      <xdr:rowOff>0</xdr:rowOff>
    </xdr:to>
    <xdr:sp>
      <xdr:nvSpPr>
        <xdr:cNvPr id="46" name="Text 11"/>
        <xdr:cNvSpPr txBox="1">
          <a:spLocks noChangeArrowheads="1"/>
        </xdr:cNvSpPr>
      </xdr:nvSpPr>
      <xdr:spPr>
        <a:xfrm>
          <a:off x="94869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85</xdr:col>
      <xdr:colOff>0</xdr:colOff>
      <xdr:row>20</xdr:row>
      <xdr:rowOff>0</xdr:rowOff>
    </xdr:from>
    <xdr:to>
      <xdr:col>85</xdr:col>
      <xdr:colOff>0</xdr:colOff>
      <xdr:row>20</xdr:row>
      <xdr:rowOff>0</xdr:rowOff>
    </xdr:to>
    <xdr:sp>
      <xdr:nvSpPr>
        <xdr:cNvPr id="47" name="Text 12"/>
        <xdr:cNvSpPr txBox="1">
          <a:spLocks noChangeArrowheads="1"/>
        </xdr:cNvSpPr>
      </xdr:nvSpPr>
      <xdr:spPr>
        <a:xfrm>
          <a:off x="94869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85</xdr:col>
      <xdr:colOff>0</xdr:colOff>
      <xdr:row>20</xdr:row>
      <xdr:rowOff>0</xdr:rowOff>
    </xdr:from>
    <xdr:to>
      <xdr:col>85</xdr:col>
      <xdr:colOff>0</xdr:colOff>
      <xdr:row>20</xdr:row>
      <xdr:rowOff>0</xdr:rowOff>
    </xdr:to>
    <xdr:sp>
      <xdr:nvSpPr>
        <xdr:cNvPr id="48" name="Text 13"/>
        <xdr:cNvSpPr txBox="1">
          <a:spLocks noChangeArrowheads="1"/>
        </xdr:cNvSpPr>
      </xdr:nvSpPr>
      <xdr:spPr>
        <a:xfrm>
          <a:off x="94869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85</xdr:col>
      <xdr:colOff>0</xdr:colOff>
      <xdr:row>20</xdr:row>
      <xdr:rowOff>0</xdr:rowOff>
    </xdr:from>
    <xdr:to>
      <xdr:col>85</xdr:col>
      <xdr:colOff>0</xdr:colOff>
      <xdr:row>20</xdr:row>
      <xdr:rowOff>0</xdr:rowOff>
    </xdr:to>
    <xdr:sp>
      <xdr:nvSpPr>
        <xdr:cNvPr id="49" name="Text 15"/>
        <xdr:cNvSpPr txBox="1">
          <a:spLocks noChangeArrowheads="1"/>
        </xdr:cNvSpPr>
      </xdr:nvSpPr>
      <xdr:spPr>
        <a:xfrm>
          <a:off x="94869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85</xdr:col>
      <xdr:colOff>0</xdr:colOff>
      <xdr:row>20</xdr:row>
      <xdr:rowOff>0</xdr:rowOff>
    </xdr:from>
    <xdr:to>
      <xdr:col>85</xdr:col>
      <xdr:colOff>0</xdr:colOff>
      <xdr:row>20</xdr:row>
      <xdr:rowOff>0</xdr:rowOff>
    </xdr:to>
    <xdr:sp>
      <xdr:nvSpPr>
        <xdr:cNvPr id="50" name="Text 16"/>
        <xdr:cNvSpPr txBox="1">
          <a:spLocks noChangeArrowheads="1"/>
        </xdr:cNvSpPr>
      </xdr:nvSpPr>
      <xdr:spPr>
        <a:xfrm>
          <a:off x="94869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85</xdr:col>
      <xdr:colOff>0</xdr:colOff>
      <xdr:row>20</xdr:row>
      <xdr:rowOff>0</xdr:rowOff>
    </xdr:from>
    <xdr:to>
      <xdr:col>85</xdr:col>
      <xdr:colOff>0</xdr:colOff>
      <xdr:row>20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94869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85</xdr:col>
      <xdr:colOff>0</xdr:colOff>
      <xdr:row>20</xdr:row>
      <xdr:rowOff>0</xdr:rowOff>
    </xdr:from>
    <xdr:to>
      <xdr:col>85</xdr:col>
      <xdr:colOff>0</xdr:colOff>
      <xdr:row>20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>
          <a:off x="94869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85</xdr:col>
      <xdr:colOff>0</xdr:colOff>
      <xdr:row>20</xdr:row>
      <xdr:rowOff>0</xdr:rowOff>
    </xdr:from>
    <xdr:to>
      <xdr:col>85</xdr:col>
      <xdr:colOff>0</xdr:colOff>
      <xdr:row>20</xdr:row>
      <xdr:rowOff>0</xdr:rowOff>
    </xdr:to>
    <xdr:sp>
      <xdr:nvSpPr>
        <xdr:cNvPr id="53" name="Text 8"/>
        <xdr:cNvSpPr txBox="1">
          <a:spLocks noChangeArrowheads="1"/>
        </xdr:cNvSpPr>
      </xdr:nvSpPr>
      <xdr:spPr>
        <a:xfrm>
          <a:off x="948690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61</xdr:col>
      <xdr:colOff>523875</xdr:colOff>
      <xdr:row>1</xdr:row>
      <xdr:rowOff>28575</xdr:rowOff>
    </xdr:from>
    <xdr:to>
      <xdr:col>97</xdr:col>
      <xdr:colOff>180975</xdr:colOff>
      <xdr:row>1</xdr:row>
      <xdr:rowOff>371475</xdr:rowOff>
    </xdr:to>
    <xdr:sp>
      <xdr:nvSpPr>
        <xdr:cNvPr id="54" name="Text 24"/>
        <xdr:cNvSpPr txBox="1">
          <a:spLocks noChangeArrowheads="1"/>
        </xdr:cNvSpPr>
      </xdr:nvSpPr>
      <xdr:spPr>
        <a:xfrm>
          <a:off x="7105650" y="419100"/>
          <a:ext cx="50196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Príloha č. 3 k nariadeniu vlády č. .../2016 Z. z.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9"/>
  <sheetViews>
    <sheetView tabSelected="1" zoomScale="75" zoomScaleNormal="75" zoomScalePageLayoutView="0" workbookViewId="0" topLeftCell="A1">
      <selection activeCell="CX2" sqref="CX2"/>
    </sheetView>
  </sheetViews>
  <sheetFormatPr defaultColWidth="16.375" defaultRowHeight="12.75"/>
  <cols>
    <col min="1" max="2" width="10.75390625" style="1" customWidth="1"/>
    <col min="3" max="5" width="10.25390625" style="2" hidden="1" customWidth="1"/>
    <col min="6" max="12" width="10.25390625" style="1" hidden="1" customWidth="1"/>
    <col min="13" max="13" width="8.75390625" style="1" hidden="1" customWidth="1"/>
    <col min="14" max="18" width="10.25390625" style="1" hidden="1" customWidth="1"/>
    <col min="19" max="19" width="10.25390625" style="1" customWidth="1"/>
    <col min="20" max="20" width="8.75390625" style="1" hidden="1" customWidth="1"/>
    <col min="21" max="25" width="10.25390625" style="1" hidden="1" customWidth="1"/>
    <col min="26" max="26" width="10.25390625" style="1" customWidth="1"/>
    <col min="27" max="27" width="8.75390625" style="1" hidden="1" customWidth="1"/>
    <col min="28" max="32" width="10.25390625" style="1" hidden="1" customWidth="1"/>
    <col min="33" max="33" width="10.25390625" style="1" customWidth="1"/>
    <col min="34" max="34" width="8.75390625" style="1" hidden="1" customWidth="1"/>
    <col min="35" max="39" width="10.25390625" style="1" hidden="1" customWidth="1"/>
    <col min="40" max="40" width="10.25390625" style="1" customWidth="1"/>
    <col min="41" max="41" width="8.75390625" style="1" hidden="1" customWidth="1"/>
    <col min="42" max="46" width="10.25390625" style="1" hidden="1" customWidth="1"/>
    <col min="47" max="47" width="10.25390625" style="1" customWidth="1"/>
    <col min="48" max="48" width="8.75390625" style="1" hidden="1" customWidth="1"/>
    <col min="49" max="53" width="10.25390625" style="1" hidden="1" customWidth="1"/>
    <col min="54" max="54" width="10.25390625" style="1" customWidth="1"/>
    <col min="55" max="55" width="8.75390625" style="1" hidden="1" customWidth="1"/>
    <col min="56" max="60" width="10.25390625" style="1" hidden="1" customWidth="1"/>
    <col min="61" max="61" width="10.25390625" style="1" customWidth="1"/>
    <col min="62" max="62" width="8.75390625" style="1" hidden="1" customWidth="1"/>
    <col min="63" max="67" width="10.25390625" style="1" hidden="1" customWidth="1"/>
    <col min="68" max="68" width="10.25390625" style="1" customWidth="1"/>
    <col min="69" max="74" width="10.25390625" style="1" hidden="1" customWidth="1"/>
    <col min="75" max="75" width="10.25390625" style="1" customWidth="1"/>
    <col min="76" max="77" width="10.25390625" style="1" hidden="1" customWidth="1"/>
    <col min="78" max="81" width="10.75390625" style="1" hidden="1" customWidth="1"/>
    <col min="82" max="82" width="10.75390625" style="1" customWidth="1"/>
    <col min="83" max="84" width="10.75390625" style="1" hidden="1" customWidth="1"/>
    <col min="85" max="85" width="10.875" style="1" hidden="1" customWidth="1"/>
    <col min="86" max="87" width="0" style="1" hidden="1" customWidth="1"/>
    <col min="88" max="88" width="13.75390625" style="1" hidden="1" customWidth="1"/>
    <col min="89" max="89" width="10.75390625" style="1" customWidth="1"/>
    <col min="90" max="91" width="10.75390625" style="1" hidden="1" customWidth="1"/>
    <col min="92" max="93" width="0" style="1" hidden="1" customWidth="1"/>
    <col min="94" max="94" width="10.75390625" style="1" customWidth="1"/>
    <col min="95" max="96" width="10.75390625" style="1" hidden="1" customWidth="1"/>
    <col min="97" max="98" width="10.75390625" style="1" customWidth="1"/>
    <col min="99" max="99" width="10.75390625" style="1" hidden="1" customWidth="1"/>
    <col min="100" max="100" width="0" style="1" hidden="1" customWidth="1"/>
    <col min="101" max="16384" width="16.375" style="1" customWidth="1"/>
  </cols>
  <sheetData>
    <row r="1" spans="15:21" ht="30.75" customHeight="1">
      <c r="O1" s="3"/>
      <c r="P1" s="3"/>
      <c r="Q1" s="3"/>
      <c r="R1" s="3"/>
      <c r="S1" s="3"/>
      <c r="T1" s="3"/>
      <c r="U1" s="3"/>
    </row>
    <row r="2" spans="1:85" ht="57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100" ht="41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V3" s="35"/>
    </row>
    <row r="4" spans="1:100" ht="39" customHeight="1" thickBot="1">
      <c r="A4" s="6"/>
      <c r="B4" s="5"/>
      <c r="C4" s="5"/>
      <c r="D4" s="5"/>
      <c r="E4" s="5"/>
      <c r="F4" s="6"/>
      <c r="G4" s="6"/>
      <c r="H4" s="6"/>
      <c r="I4" s="6"/>
      <c r="J4" s="5"/>
      <c r="K4" s="5"/>
      <c r="L4" s="5"/>
      <c r="M4" s="5"/>
      <c r="N4" s="5"/>
      <c r="O4" s="7"/>
      <c r="P4" s="7"/>
      <c r="Q4" s="7"/>
      <c r="R4" s="7"/>
      <c r="S4" s="7"/>
      <c r="T4" s="7"/>
      <c r="U4" s="7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K4" s="2"/>
      <c r="CL4" s="2"/>
      <c r="CM4" s="2"/>
      <c r="CP4" s="2"/>
      <c r="CQ4" s="2"/>
      <c r="CR4" s="2"/>
      <c r="CS4" s="2"/>
      <c r="CT4" s="2"/>
      <c r="CU4" s="2"/>
      <c r="CV4" s="46"/>
    </row>
    <row r="5" spans="1:99" ht="21.75" customHeight="1">
      <c r="A5" s="8"/>
      <c r="B5" s="31"/>
      <c r="C5" s="30"/>
      <c r="D5" s="9"/>
      <c r="E5" s="9"/>
      <c r="F5" s="9"/>
      <c r="G5" s="9"/>
      <c r="H5" s="9"/>
      <c r="I5" s="9"/>
      <c r="J5" s="20" t="s">
        <v>0</v>
      </c>
      <c r="K5" s="20"/>
      <c r="L5" s="20"/>
      <c r="M5" s="20"/>
      <c r="N5" s="20"/>
      <c r="O5" s="21"/>
      <c r="P5" s="21"/>
      <c r="Q5" s="21"/>
      <c r="R5" s="21"/>
      <c r="S5" s="129" t="s">
        <v>0</v>
      </c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30"/>
      <c r="CU5" s="2"/>
    </row>
    <row r="6" spans="1:99" ht="28.5" customHeight="1">
      <c r="A6" s="10"/>
      <c r="B6" s="32"/>
      <c r="C6" s="23"/>
      <c r="D6" s="23"/>
      <c r="E6" s="23"/>
      <c r="F6" s="11"/>
      <c r="G6" s="11"/>
      <c r="H6" s="11"/>
      <c r="I6" s="11"/>
      <c r="J6" s="12" t="s">
        <v>13</v>
      </c>
      <c r="K6" s="12"/>
      <c r="L6" s="12"/>
      <c r="M6" s="49"/>
      <c r="N6" s="49"/>
      <c r="O6" s="50"/>
      <c r="P6" s="50"/>
      <c r="Q6" s="50"/>
      <c r="R6" s="50"/>
      <c r="S6" s="127" t="s">
        <v>14</v>
      </c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8"/>
      <c r="CU6" s="2"/>
    </row>
    <row r="7" spans="1:100" ht="21.75" customHeight="1" thickBot="1">
      <c r="A7" s="13"/>
      <c r="B7" s="33"/>
      <c r="C7" s="22">
        <v>1</v>
      </c>
      <c r="D7" s="22"/>
      <c r="E7" s="22">
        <v>1</v>
      </c>
      <c r="F7" s="22">
        <v>2</v>
      </c>
      <c r="G7" s="22"/>
      <c r="H7" s="22"/>
      <c r="I7" s="45">
        <v>2</v>
      </c>
      <c r="J7" s="45">
        <v>3</v>
      </c>
      <c r="K7" s="45"/>
      <c r="L7" s="45"/>
      <c r="M7" s="51">
        <v>1</v>
      </c>
      <c r="N7" s="51">
        <v>3</v>
      </c>
      <c r="O7" s="51">
        <v>4</v>
      </c>
      <c r="P7" s="51"/>
      <c r="Q7" s="51"/>
      <c r="R7" s="64">
        <v>1</v>
      </c>
      <c r="S7" s="119">
        <v>1</v>
      </c>
      <c r="T7" s="119">
        <v>2</v>
      </c>
      <c r="U7" s="119">
        <v>4</v>
      </c>
      <c r="V7" s="119">
        <v>5</v>
      </c>
      <c r="W7" s="119"/>
      <c r="X7" s="119"/>
      <c r="Y7" s="119">
        <v>2</v>
      </c>
      <c r="Z7" s="119">
        <v>2</v>
      </c>
      <c r="AA7" s="119">
        <v>3</v>
      </c>
      <c r="AB7" s="119">
        <v>5</v>
      </c>
      <c r="AC7" s="119">
        <v>6</v>
      </c>
      <c r="AD7" s="119"/>
      <c r="AE7" s="119"/>
      <c r="AF7" s="119">
        <v>3</v>
      </c>
      <c r="AG7" s="119">
        <v>3</v>
      </c>
      <c r="AH7" s="119">
        <v>4</v>
      </c>
      <c r="AI7" s="119">
        <v>6</v>
      </c>
      <c r="AJ7" s="119">
        <v>7</v>
      </c>
      <c r="AK7" s="119"/>
      <c r="AL7" s="119"/>
      <c r="AM7" s="120">
        <v>4</v>
      </c>
      <c r="AN7" s="119">
        <v>4</v>
      </c>
      <c r="AO7" s="119">
        <v>5</v>
      </c>
      <c r="AP7" s="119">
        <v>7</v>
      </c>
      <c r="AQ7" s="119">
        <v>8</v>
      </c>
      <c r="AR7" s="119"/>
      <c r="AS7" s="119"/>
      <c r="AT7" s="120">
        <v>5</v>
      </c>
      <c r="AU7" s="119">
        <v>5</v>
      </c>
      <c r="AV7" s="119">
        <v>6</v>
      </c>
      <c r="AW7" s="119">
        <v>8</v>
      </c>
      <c r="AX7" s="119">
        <v>9</v>
      </c>
      <c r="AY7" s="119"/>
      <c r="AZ7" s="119"/>
      <c r="BA7" s="120">
        <v>6</v>
      </c>
      <c r="BB7" s="119">
        <v>6</v>
      </c>
      <c r="BC7" s="119">
        <v>7</v>
      </c>
      <c r="BD7" s="119">
        <v>9</v>
      </c>
      <c r="BE7" s="119">
        <v>10</v>
      </c>
      <c r="BF7" s="119"/>
      <c r="BG7" s="119"/>
      <c r="BH7" s="120">
        <v>7</v>
      </c>
      <c r="BI7" s="119">
        <v>7</v>
      </c>
      <c r="BJ7" s="119">
        <v>8</v>
      </c>
      <c r="BK7" s="119">
        <v>10</v>
      </c>
      <c r="BL7" s="119">
        <v>11</v>
      </c>
      <c r="BM7" s="119"/>
      <c r="BN7" s="119"/>
      <c r="BO7" s="120">
        <v>8</v>
      </c>
      <c r="BP7" s="119">
        <v>8</v>
      </c>
      <c r="BQ7" s="119">
        <v>9</v>
      </c>
      <c r="BR7" s="119">
        <v>11</v>
      </c>
      <c r="BS7" s="119">
        <v>12</v>
      </c>
      <c r="BT7" s="121"/>
      <c r="BU7" s="121"/>
      <c r="BV7" s="122">
        <v>9</v>
      </c>
      <c r="BW7" s="121">
        <v>9</v>
      </c>
      <c r="BX7" s="121">
        <v>10</v>
      </c>
      <c r="BY7" s="121">
        <v>12</v>
      </c>
      <c r="BZ7" s="121">
        <v>13</v>
      </c>
      <c r="CA7" s="121"/>
      <c r="CB7" s="121"/>
      <c r="CC7" s="122">
        <v>10</v>
      </c>
      <c r="CD7" s="52">
        <v>10</v>
      </c>
      <c r="CE7" s="123">
        <v>11</v>
      </c>
      <c r="CF7" s="123">
        <v>13</v>
      </c>
      <c r="CG7" s="53">
        <v>14</v>
      </c>
      <c r="CH7" s="47"/>
      <c r="CI7" s="47"/>
      <c r="CJ7" s="67">
        <v>11</v>
      </c>
      <c r="CK7" s="115">
        <v>11</v>
      </c>
      <c r="CL7" s="115">
        <v>12</v>
      </c>
      <c r="CM7" s="124">
        <v>14</v>
      </c>
      <c r="CN7" s="47"/>
      <c r="CO7" s="67">
        <v>12</v>
      </c>
      <c r="CP7" s="125">
        <v>12</v>
      </c>
      <c r="CQ7" s="126">
        <v>13</v>
      </c>
      <c r="CR7" s="70">
        <v>13</v>
      </c>
      <c r="CS7" s="115">
        <v>13</v>
      </c>
      <c r="CT7" s="63">
        <v>14</v>
      </c>
      <c r="CU7" s="71">
        <v>14</v>
      </c>
      <c r="CV7" s="73">
        <v>14</v>
      </c>
    </row>
    <row r="8" spans="1:100" ht="27.75" customHeight="1" thickBot="1">
      <c r="A8" s="14">
        <v>1</v>
      </c>
      <c r="B8" s="15" t="s">
        <v>1</v>
      </c>
      <c r="C8" s="24">
        <v>222.5</v>
      </c>
      <c r="D8" s="29">
        <f>C8*1.015</f>
        <v>225.83749999999998</v>
      </c>
      <c r="E8" s="34">
        <f>CEILING(D8,0.5)</f>
        <v>226</v>
      </c>
      <c r="F8" s="25">
        <v>230</v>
      </c>
      <c r="G8" s="25">
        <f>F8*1.015</f>
        <v>233.45</v>
      </c>
      <c r="H8" s="25">
        <f>E8*1.01</f>
        <v>228.26</v>
      </c>
      <c r="I8" s="38">
        <f aca="true" t="shared" si="0" ref="I8:I19">CEILING(G8,0.5)</f>
        <v>233.5</v>
      </c>
      <c r="J8" s="38">
        <v>240.5</v>
      </c>
      <c r="K8" s="38">
        <f>J8*1.015</f>
        <v>244.1075</v>
      </c>
      <c r="L8" s="38">
        <f>I8*1.01</f>
        <v>235.835</v>
      </c>
      <c r="M8" s="61">
        <f>CEILING(237.64,0.5)</f>
        <v>238</v>
      </c>
      <c r="N8" s="38">
        <f aca="true" t="shared" si="1" ref="N8:N19">CEILING(K8,0.5)</f>
        <v>244.5</v>
      </c>
      <c r="O8" s="38">
        <v>308</v>
      </c>
      <c r="P8" s="38">
        <f>O8*1.015</f>
        <v>312.61999999999995</v>
      </c>
      <c r="Q8" s="38">
        <f>N8*1.01</f>
        <v>246.945</v>
      </c>
      <c r="R8" s="65">
        <f>M8*1.04</f>
        <v>247.52</v>
      </c>
      <c r="S8" s="77">
        <v>248</v>
      </c>
      <c r="T8" s="61">
        <f>CEILING(245.44,0.5)</f>
        <v>245.5</v>
      </c>
      <c r="U8" s="38">
        <f aca="true" t="shared" si="2" ref="U8:U19">CEILING(P8,0.5)</f>
        <v>313</v>
      </c>
      <c r="V8" s="38">
        <v>331</v>
      </c>
      <c r="W8" s="38">
        <f>V8*1.015</f>
        <v>335.965</v>
      </c>
      <c r="X8" s="38">
        <f>U8*1.01</f>
        <v>316.13</v>
      </c>
      <c r="Y8" s="61">
        <f>T8*1.04</f>
        <v>255.32000000000002</v>
      </c>
      <c r="Z8" s="77">
        <v>255.5</v>
      </c>
      <c r="AA8" s="61">
        <f>CEILING(256.88,0.5)</f>
        <v>257</v>
      </c>
      <c r="AB8" s="38">
        <f aca="true" t="shared" si="3" ref="AB8:AB19">CEILING(W8,0.5)</f>
        <v>336</v>
      </c>
      <c r="AC8" s="38">
        <v>356.5</v>
      </c>
      <c r="AD8" s="38">
        <f>AC8*1.015</f>
        <v>361.84749999999997</v>
      </c>
      <c r="AE8" s="38">
        <f>AB8*1.01</f>
        <v>339.36</v>
      </c>
      <c r="AF8" s="61">
        <f>AA8*1.04</f>
        <v>267.28000000000003</v>
      </c>
      <c r="AG8" s="77">
        <v>267.5</v>
      </c>
      <c r="AH8" s="61">
        <f>CEILING(329.16,0.5)</f>
        <v>329.5</v>
      </c>
      <c r="AI8" s="38">
        <f aca="true" t="shared" si="4" ref="AI8:AI19">CEILING(AD8,0.5)</f>
        <v>362</v>
      </c>
      <c r="AJ8" s="38">
        <v>385</v>
      </c>
      <c r="AK8" s="38">
        <f>AJ8*1.015</f>
        <v>390.775</v>
      </c>
      <c r="AL8" s="38">
        <f>AI8*1.01</f>
        <v>365.62</v>
      </c>
      <c r="AM8" s="65">
        <f>AH8*1.04</f>
        <v>342.68</v>
      </c>
      <c r="AN8" s="88">
        <v>343</v>
      </c>
      <c r="AO8" s="88">
        <f>CEILING(353.08,0.5)</f>
        <v>353.5</v>
      </c>
      <c r="AP8" s="89">
        <f aca="true" t="shared" si="5" ref="AP8:AP19">CEILING(AK8,0.5)</f>
        <v>391</v>
      </c>
      <c r="AQ8" s="89">
        <v>444</v>
      </c>
      <c r="AR8" s="89">
        <f>AQ8*1.015</f>
        <v>450.65999999999997</v>
      </c>
      <c r="AS8" s="89">
        <f>AP8*1.01</f>
        <v>394.91</v>
      </c>
      <c r="AT8" s="90">
        <f>AO8*1.04</f>
        <v>367.64</v>
      </c>
      <c r="AU8" s="88">
        <v>368</v>
      </c>
      <c r="AV8" s="61">
        <f>CEILING(380.64,0.5)</f>
        <v>381</v>
      </c>
      <c r="AW8" s="38">
        <f aca="true" t="shared" si="6" ref="AW8:AW19">CEILING(AR8,0.5)</f>
        <v>451</v>
      </c>
      <c r="AX8" s="38">
        <v>511</v>
      </c>
      <c r="AY8" s="38">
        <f>AX8*1.015</f>
        <v>518.665</v>
      </c>
      <c r="AZ8" s="38">
        <f>AW8*1.01</f>
        <v>455.51</v>
      </c>
      <c r="BA8" s="65">
        <f>AV8*1.04</f>
        <v>396.24</v>
      </c>
      <c r="BB8" s="77">
        <v>396.5</v>
      </c>
      <c r="BC8" s="61">
        <f>CEILING(410.8,0.5)</f>
        <v>411</v>
      </c>
      <c r="BD8" s="38">
        <f aca="true" t="shared" si="7" ref="BD8:BD19">CEILING(AY8,0.5)</f>
        <v>519</v>
      </c>
      <c r="BE8" s="38">
        <v>596</v>
      </c>
      <c r="BF8" s="38">
        <f>BE8*1.015</f>
        <v>604.9399999999999</v>
      </c>
      <c r="BG8" s="38">
        <f>BD8*1.01</f>
        <v>524.19</v>
      </c>
      <c r="BH8" s="65">
        <f>BC8*1.04</f>
        <v>427.44</v>
      </c>
      <c r="BI8" s="77">
        <v>427.5</v>
      </c>
      <c r="BJ8" s="61">
        <f>CEILING(474.24,0.5)</f>
        <v>474.5</v>
      </c>
      <c r="BK8" s="38">
        <f aca="true" t="shared" si="8" ref="BK8:BK19">CEILING(BF8,0.5)</f>
        <v>605</v>
      </c>
      <c r="BL8" s="38">
        <v>639</v>
      </c>
      <c r="BM8" s="38">
        <f>BL8*1.015</f>
        <v>648.5849999999999</v>
      </c>
      <c r="BN8" s="38">
        <f>BK8*1.01</f>
        <v>611.05</v>
      </c>
      <c r="BO8" s="65">
        <f>BJ8*1.04</f>
        <v>493.48</v>
      </c>
      <c r="BP8" s="77">
        <v>493.5</v>
      </c>
      <c r="BQ8" s="61">
        <f>CEILING(545.48,0.5)</f>
        <v>545.5</v>
      </c>
      <c r="BR8" s="38">
        <f aca="true" t="shared" si="9" ref="BR8:BR19">CEILING(BM8,0.5)</f>
        <v>649</v>
      </c>
      <c r="BS8" s="38">
        <v>683.5</v>
      </c>
      <c r="BT8" s="38">
        <f>BS8*1.015</f>
        <v>693.7524999999999</v>
      </c>
      <c r="BU8" s="38">
        <f>BR8*1.01</f>
        <v>655.49</v>
      </c>
      <c r="BV8" s="65">
        <f>BQ8*1.04</f>
        <v>567.32</v>
      </c>
      <c r="BW8" s="77">
        <v>567.5</v>
      </c>
      <c r="BX8" s="61">
        <f>CEILING(635.96,0.5)</f>
        <v>636</v>
      </c>
      <c r="BY8" s="38">
        <f aca="true" t="shared" si="10" ref="BY8:BY19">CEILING(BT8,0.5)</f>
        <v>694</v>
      </c>
      <c r="BZ8" s="38">
        <v>733.5</v>
      </c>
      <c r="CA8" s="39">
        <f>BZ8*1.015</f>
        <v>744.5024999999999</v>
      </c>
      <c r="CB8" s="39">
        <f>BY8*1.01</f>
        <v>700.94</v>
      </c>
      <c r="CC8" s="66">
        <f>BX8*1.04</f>
        <v>661.44</v>
      </c>
      <c r="CD8" s="77">
        <v>661.5</v>
      </c>
      <c r="CE8" s="62">
        <f>CEILING(681.72,0.5)</f>
        <v>682</v>
      </c>
      <c r="CF8" s="39">
        <f aca="true" t="shared" si="11" ref="CF8:CF19">CEILING(CA8,0.5)</f>
        <v>745</v>
      </c>
      <c r="CG8" s="40">
        <v>792</v>
      </c>
      <c r="CH8" s="41">
        <f>CG8*1.015</f>
        <v>803.8799999999999</v>
      </c>
      <c r="CI8" s="42">
        <f>CF8*1.01</f>
        <v>752.45</v>
      </c>
      <c r="CJ8" s="68">
        <f>CE8*1.04</f>
        <v>709.28</v>
      </c>
      <c r="CK8" s="79">
        <v>709.5</v>
      </c>
      <c r="CL8" s="54">
        <f>CEILING(729.04,0.5)</f>
        <v>729.5</v>
      </c>
      <c r="CM8" s="36">
        <f aca="true" t="shared" si="12" ref="CM8:CM19">CEILING(CH8,0.5)</f>
        <v>804</v>
      </c>
      <c r="CN8" s="41">
        <f>CM8*1.01</f>
        <v>812.04</v>
      </c>
      <c r="CO8" s="69">
        <f>CL8*1.04</f>
        <v>758.6800000000001</v>
      </c>
      <c r="CP8" s="79">
        <v>759</v>
      </c>
      <c r="CQ8" s="79">
        <f>CEILING(782.6,0.5)</f>
        <v>783</v>
      </c>
      <c r="CR8" s="82">
        <f>CQ8*1.04</f>
        <v>814.32</v>
      </c>
      <c r="CS8" s="79">
        <v>814.5</v>
      </c>
      <c r="CT8" s="83">
        <v>879</v>
      </c>
      <c r="CU8" s="72">
        <f>CT8*1.04</f>
        <v>914.1600000000001</v>
      </c>
      <c r="CV8" s="116">
        <v>879</v>
      </c>
    </row>
    <row r="9" spans="1:102" ht="27.75" customHeight="1" thickBot="1">
      <c r="A9" s="16">
        <v>2</v>
      </c>
      <c r="B9" s="17" t="s">
        <v>2</v>
      </c>
      <c r="C9" s="24">
        <v>229.5</v>
      </c>
      <c r="D9" s="29">
        <f aca="true" t="shared" si="13" ref="D9:D19">C9*1.015</f>
        <v>232.94249999999997</v>
      </c>
      <c r="E9" s="29">
        <f aca="true" t="shared" si="14" ref="E9:E19">CEILING(D9,0.5)</f>
        <v>233</v>
      </c>
      <c r="F9" s="25">
        <v>237.5</v>
      </c>
      <c r="G9" s="25">
        <f aca="true" t="shared" si="15" ref="G9:G19">F9*1.015</f>
        <v>241.06249999999997</v>
      </c>
      <c r="H9" s="25">
        <f aca="true" t="shared" si="16" ref="H9:H19">E9*1.01</f>
        <v>235.33</v>
      </c>
      <c r="I9" s="25">
        <f t="shared" si="0"/>
        <v>241.5</v>
      </c>
      <c r="J9" s="25">
        <v>248</v>
      </c>
      <c r="K9" s="25">
        <f aca="true" t="shared" si="17" ref="K9:K19">J9*1.015</f>
        <v>251.71999999999997</v>
      </c>
      <c r="L9" s="38">
        <f aca="true" t="shared" si="18" ref="L9:L19">I9*1.01</f>
        <v>243.915</v>
      </c>
      <c r="M9" s="61">
        <f>CEILING(244.92,0.5)</f>
        <v>245</v>
      </c>
      <c r="N9" s="38">
        <f t="shared" si="1"/>
        <v>252</v>
      </c>
      <c r="O9" s="38">
        <v>319</v>
      </c>
      <c r="P9" s="38">
        <f aca="true" t="shared" si="19" ref="P9:P19">O9*1.015</f>
        <v>323.78499999999997</v>
      </c>
      <c r="Q9" s="38">
        <f aca="true" t="shared" si="20" ref="Q9:Q19">N9*1.01</f>
        <v>254.52</v>
      </c>
      <c r="R9" s="65">
        <f aca="true" t="shared" si="21" ref="R9:R19">M9*1.04</f>
        <v>254.8</v>
      </c>
      <c r="S9" s="87">
        <v>255</v>
      </c>
      <c r="T9" s="61">
        <f>CEILING(253.76,0.5)</f>
        <v>254</v>
      </c>
      <c r="U9" s="38">
        <f t="shared" si="2"/>
        <v>324</v>
      </c>
      <c r="V9" s="38">
        <v>343</v>
      </c>
      <c r="W9" s="38">
        <f aca="true" t="shared" si="22" ref="W9:W19">V9*1.015</f>
        <v>348.145</v>
      </c>
      <c r="X9" s="38">
        <f aca="true" t="shared" si="23" ref="X9:X19">U9*1.01</f>
        <v>327.24</v>
      </c>
      <c r="Y9" s="61">
        <f aca="true" t="shared" si="24" ref="Y9:Y19">T9*1.04</f>
        <v>264.16</v>
      </c>
      <c r="Z9" s="87">
        <v>264.5</v>
      </c>
      <c r="AA9" s="61">
        <f>CEILING(265.2,0.5)</f>
        <v>265.5</v>
      </c>
      <c r="AB9" s="38">
        <f t="shared" si="3"/>
        <v>348.5</v>
      </c>
      <c r="AC9" s="38">
        <v>370.5</v>
      </c>
      <c r="AD9" s="38">
        <f aca="true" t="shared" si="25" ref="AD9:AD19">AC9*1.015</f>
        <v>376.05749999999995</v>
      </c>
      <c r="AE9" s="38">
        <f aca="true" t="shared" si="26" ref="AE9:AE19">AB9*1.01</f>
        <v>351.985</v>
      </c>
      <c r="AF9" s="61">
        <f aca="true" t="shared" si="27" ref="AF9:AF19">AA9*1.04</f>
        <v>276.12</v>
      </c>
      <c r="AG9" s="87">
        <v>276.5</v>
      </c>
      <c r="AH9" s="61">
        <f>CEILING(340.6,0.5)</f>
        <v>341</v>
      </c>
      <c r="AI9" s="38">
        <f t="shared" si="4"/>
        <v>376.5</v>
      </c>
      <c r="AJ9" s="38">
        <v>400</v>
      </c>
      <c r="AK9" s="38">
        <f aca="true" t="shared" si="28" ref="AK9:AK19">AJ9*1.015</f>
        <v>405.99999999999994</v>
      </c>
      <c r="AL9" s="38">
        <f aca="true" t="shared" si="29" ref="AL9:AL19">AI9*1.01</f>
        <v>380.265</v>
      </c>
      <c r="AM9" s="65">
        <f aca="true" t="shared" si="30" ref="AM9:AM19">AH9*1.04</f>
        <v>354.64</v>
      </c>
      <c r="AN9" s="87">
        <v>355</v>
      </c>
      <c r="AO9" s="87">
        <f>CEILING(366.05,0.5)</f>
        <v>366.5</v>
      </c>
      <c r="AP9" s="92">
        <f t="shared" si="5"/>
        <v>406</v>
      </c>
      <c r="AQ9" s="92">
        <v>461</v>
      </c>
      <c r="AR9" s="92">
        <f aca="true" t="shared" si="31" ref="AR9:AR19">AQ9*1.015</f>
        <v>467.91499999999996</v>
      </c>
      <c r="AS9" s="92">
        <f aca="true" t="shared" si="32" ref="AS9:AS19">AP9*1.01</f>
        <v>410.06</v>
      </c>
      <c r="AT9" s="93">
        <f aca="true" t="shared" si="33" ref="AT9:AT19">AO9*1.04</f>
        <v>381.16</v>
      </c>
      <c r="AU9" s="87">
        <v>381.5</v>
      </c>
      <c r="AV9" s="61">
        <f>CEILING(395.72,0.5)</f>
        <v>396</v>
      </c>
      <c r="AW9" s="38">
        <f t="shared" si="6"/>
        <v>468</v>
      </c>
      <c r="AX9" s="38">
        <v>531</v>
      </c>
      <c r="AY9" s="38">
        <f aca="true" t="shared" si="34" ref="AY9:AY19">AX9*1.015</f>
        <v>538.9649999999999</v>
      </c>
      <c r="AZ9" s="38">
        <f aca="true" t="shared" si="35" ref="AZ9:AZ19">AW9*1.01</f>
        <v>472.68</v>
      </c>
      <c r="BA9" s="65">
        <f aca="true" t="shared" si="36" ref="BA9:BA19">AV9*1.04</f>
        <v>411.84000000000003</v>
      </c>
      <c r="BB9" s="87">
        <v>412</v>
      </c>
      <c r="BC9" s="61">
        <f>CEILING(426.92,0.5)</f>
        <v>427</v>
      </c>
      <c r="BD9" s="38">
        <f t="shared" si="7"/>
        <v>539</v>
      </c>
      <c r="BE9" s="38">
        <v>619</v>
      </c>
      <c r="BF9" s="38">
        <f aca="true" t="shared" si="37" ref="BF9:BF19">BE9*1.015</f>
        <v>628.285</v>
      </c>
      <c r="BG9" s="38">
        <f aca="true" t="shared" si="38" ref="BG9:BG19">BD9*1.01</f>
        <v>544.39</v>
      </c>
      <c r="BH9" s="65">
        <f aca="true" t="shared" si="39" ref="BH9:BH19">BC9*1.04</f>
        <v>444.08000000000004</v>
      </c>
      <c r="BI9" s="87">
        <v>444.5</v>
      </c>
      <c r="BJ9" s="61">
        <f>CEILING(491.92,0.5)</f>
        <v>492</v>
      </c>
      <c r="BK9" s="38">
        <f t="shared" si="8"/>
        <v>628.5</v>
      </c>
      <c r="BL9" s="38">
        <v>664</v>
      </c>
      <c r="BM9" s="38">
        <f aca="true" t="shared" si="40" ref="BM9:BM19">BL9*1.015</f>
        <v>673.9599999999999</v>
      </c>
      <c r="BN9" s="38">
        <f aca="true" t="shared" si="41" ref="BN9:BN19">BK9*1.01</f>
        <v>634.785</v>
      </c>
      <c r="BO9" s="65">
        <f aca="true" t="shared" si="42" ref="BO9:BO19">BJ9*1.04</f>
        <v>511.68</v>
      </c>
      <c r="BP9" s="87">
        <v>512</v>
      </c>
      <c r="BQ9" s="61">
        <f>CEILING(566.28,0.5)</f>
        <v>566.5</v>
      </c>
      <c r="BR9" s="38">
        <f t="shared" si="9"/>
        <v>674</v>
      </c>
      <c r="BS9" s="38">
        <v>710.5</v>
      </c>
      <c r="BT9" s="38">
        <f aca="true" t="shared" si="43" ref="BT9:BT19">BS9*1.015</f>
        <v>721.1574999999999</v>
      </c>
      <c r="BU9" s="38">
        <f aca="true" t="shared" si="44" ref="BU9:BU19">BR9*1.01</f>
        <v>680.74</v>
      </c>
      <c r="BV9" s="65">
        <f aca="true" t="shared" si="45" ref="BV9:BV19">BQ9*1.04</f>
        <v>589.16</v>
      </c>
      <c r="BW9" s="87">
        <v>589.5</v>
      </c>
      <c r="BX9" s="61">
        <f>CEILING(660.4,0.5)</f>
        <v>660.5</v>
      </c>
      <c r="BY9" s="38">
        <f t="shared" si="10"/>
        <v>721.5</v>
      </c>
      <c r="BZ9" s="38">
        <v>763</v>
      </c>
      <c r="CA9" s="39">
        <f aca="true" t="shared" si="46" ref="CA9:CA19">BZ9*1.015</f>
        <v>774.4449999999999</v>
      </c>
      <c r="CB9" s="39">
        <f aca="true" t="shared" si="47" ref="CB9:CB19">BY9*1.01</f>
        <v>728.715</v>
      </c>
      <c r="CC9" s="66">
        <f aca="true" t="shared" si="48" ref="CC9:CC19">BX9*1.04</f>
        <v>686.9200000000001</v>
      </c>
      <c r="CD9" s="87">
        <v>687</v>
      </c>
      <c r="CE9" s="62">
        <f>CEILING(708.24,0.5)</f>
        <v>708.5</v>
      </c>
      <c r="CF9" s="39">
        <f t="shared" si="11"/>
        <v>774.5</v>
      </c>
      <c r="CG9" s="40">
        <v>823</v>
      </c>
      <c r="CH9" s="41">
        <f aca="true" t="shared" si="49" ref="CH9:CH19">CG9*1.015</f>
        <v>835.3449999999999</v>
      </c>
      <c r="CI9" s="42">
        <f aca="true" t="shared" si="50" ref="CI9:CI19">CF9*1.01</f>
        <v>782.245</v>
      </c>
      <c r="CJ9" s="68">
        <f aca="true" t="shared" si="51" ref="CJ9:CJ19">CE9*1.04</f>
        <v>736.84</v>
      </c>
      <c r="CK9" s="86">
        <v>737</v>
      </c>
      <c r="CL9" s="54">
        <f>CEILING(758.16,0.5)</f>
        <v>758.5</v>
      </c>
      <c r="CM9" s="36">
        <f t="shared" si="12"/>
        <v>835.5</v>
      </c>
      <c r="CN9" s="41">
        <f aca="true" t="shared" si="52" ref="CN9:CN19">CM9*1.01</f>
        <v>843.855</v>
      </c>
      <c r="CO9" s="69">
        <f aca="true" t="shared" si="53" ref="CO9:CO19">CL9*1.04</f>
        <v>788.84</v>
      </c>
      <c r="CP9" s="86">
        <v>789</v>
      </c>
      <c r="CQ9" s="86">
        <f>CEILING(813.8,0.5)</f>
        <v>814</v>
      </c>
      <c r="CR9" s="85">
        <f aca="true" t="shared" si="54" ref="CR9:CR19">CQ9*1.04</f>
        <v>846.5600000000001</v>
      </c>
      <c r="CS9" s="86">
        <v>847</v>
      </c>
      <c r="CT9" s="84">
        <v>913.5</v>
      </c>
      <c r="CU9" s="72">
        <f aca="true" t="shared" si="55" ref="CU9:CU19">CT9*1.04</f>
        <v>950.0400000000001</v>
      </c>
      <c r="CV9" s="116">
        <v>913.5</v>
      </c>
      <c r="CX9" s="2"/>
    </row>
    <row r="10" spans="1:100" ht="27.75" customHeight="1" thickBot="1">
      <c r="A10" s="16">
        <v>3</v>
      </c>
      <c r="B10" s="17" t="s">
        <v>3</v>
      </c>
      <c r="C10" s="24">
        <v>236.5</v>
      </c>
      <c r="D10" s="29">
        <f t="shared" si="13"/>
        <v>240.04749999999999</v>
      </c>
      <c r="E10" s="29">
        <f t="shared" si="14"/>
        <v>240.5</v>
      </c>
      <c r="F10" s="25">
        <v>245.5</v>
      </c>
      <c r="G10" s="25">
        <f t="shared" si="15"/>
        <v>249.18249999999998</v>
      </c>
      <c r="H10" s="25">
        <f t="shared" si="16"/>
        <v>242.905</v>
      </c>
      <c r="I10" s="25">
        <f t="shared" si="0"/>
        <v>249.5</v>
      </c>
      <c r="J10" s="25">
        <v>256.5</v>
      </c>
      <c r="K10" s="25">
        <f t="shared" si="17"/>
        <v>260.34749999999997</v>
      </c>
      <c r="L10" s="38">
        <f t="shared" si="18"/>
        <v>251.995</v>
      </c>
      <c r="M10" s="61">
        <f>CEILING(252.72,0.5)</f>
        <v>253</v>
      </c>
      <c r="N10" s="38">
        <f t="shared" si="1"/>
        <v>260.5</v>
      </c>
      <c r="O10" s="38">
        <v>331</v>
      </c>
      <c r="P10" s="38">
        <f t="shared" si="19"/>
        <v>335.965</v>
      </c>
      <c r="Q10" s="38">
        <f t="shared" si="20"/>
        <v>263.105</v>
      </c>
      <c r="R10" s="65">
        <f t="shared" si="21"/>
        <v>263.12</v>
      </c>
      <c r="S10" s="94">
        <v>263.5</v>
      </c>
      <c r="T10" s="77">
        <f>CEILING(262.08,0.5)</f>
        <v>262.5</v>
      </c>
      <c r="U10" s="95">
        <f t="shared" si="2"/>
        <v>336</v>
      </c>
      <c r="V10" s="95">
        <v>355.5</v>
      </c>
      <c r="W10" s="95">
        <f t="shared" si="22"/>
        <v>360.8325</v>
      </c>
      <c r="X10" s="95">
        <f t="shared" si="23"/>
        <v>339.36</v>
      </c>
      <c r="Y10" s="77">
        <f t="shared" si="24"/>
        <v>273</v>
      </c>
      <c r="Z10" s="94">
        <v>273</v>
      </c>
      <c r="AA10" s="61">
        <f>CEILING(274.04,0.5)</f>
        <v>274.5</v>
      </c>
      <c r="AB10" s="38">
        <f t="shared" si="3"/>
        <v>361</v>
      </c>
      <c r="AC10" s="38">
        <v>384</v>
      </c>
      <c r="AD10" s="38">
        <f t="shared" si="25"/>
        <v>389.76</v>
      </c>
      <c r="AE10" s="38">
        <f t="shared" si="26"/>
        <v>364.61</v>
      </c>
      <c r="AF10" s="61">
        <f t="shared" si="27"/>
        <v>285.48</v>
      </c>
      <c r="AG10" s="94">
        <v>285.5</v>
      </c>
      <c r="AH10" s="77">
        <f>CEILING(353.08,0.5)</f>
        <v>353.5</v>
      </c>
      <c r="AI10" s="95">
        <f t="shared" si="4"/>
        <v>390</v>
      </c>
      <c r="AJ10" s="95">
        <v>415.5</v>
      </c>
      <c r="AK10" s="95">
        <f t="shared" si="28"/>
        <v>421.73249999999996</v>
      </c>
      <c r="AL10" s="95">
        <f t="shared" si="29"/>
        <v>393.9</v>
      </c>
      <c r="AM10" s="96">
        <f t="shared" si="30"/>
        <v>367.64</v>
      </c>
      <c r="AN10" s="94">
        <v>368</v>
      </c>
      <c r="AO10" s="76">
        <f>CEILING(379.6,0.5)</f>
        <v>380</v>
      </c>
      <c r="AP10" s="57">
        <f t="shared" si="5"/>
        <v>422</v>
      </c>
      <c r="AQ10" s="57">
        <v>479</v>
      </c>
      <c r="AR10" s="57">
        <f t="shared" si="31"/>
        <v>486.18499999999995</v>
      </c>
      <c r="AS10" s="57">
        <f t="shared" si="32"/>
        <v>426.22</v>
      </c>
      <c r="AT10" s="91">
        <f t="shared" si="33"/>
        <v>395.2</v>
      </c>
      <c r="AU10" s="87">
        <v>395.5</v>
      </c>
      <c r="AV10" s="61">
        <f>CEILING(409.76,0.5)</f>
        <v>410</v>
      </c>
      <c r="AW10" s="38">
        <f t="shared" si="6"/>
        <v>486.5</v>
      </c>
      <c r="AX10" s="38">
        <v>552</v>
      </c>
      <c r="AY10" s="38">
        <f t="shared" si="34"/>
        <v>560.28</v>
      </c>
      <c r="AZ10" s="38">
        <f t="shared" si="35"/>
        <v>491.365</v>
      </c>
      <c r="BA10" s="65">
        <f t="shared" si="36"/>
        <v>426.40000000000003</v>
      </c>
      <c r="BB10" s="87">
        <v>426.5</v>
      </c>
      <c r="BC10" s="61">
        <f>CEILING(443.56,0.5)</f>
        <v>444</v>
      </c>
      <c r="BD10" s="38">
        <f t="shared" si="7"/>
        <v>560.5</v>
      </c>
      <c r="BE10" s="38">
        <v>643.5</v>
      </c>
      <c r="BF10" s="38">
        <f t="shared" si="37"/>
        <v>653.1524999999999</v>
      </c>
      <c r="BG10" s="38">
        <f t="shared" si="38"/>
        <v>566.105</v>
      </c>
      <c r="BH10" s="65">
        <f t="shared" si="39"/>
        <v>461.76</v>
      </c>
      <c r="BI10" s="87">
        <v>462</v>
      </c>
      <c r="BJ10" s="61">
        <f>CEILING(511.16,0.5)</f>
        <v>511.5</v>
      </c>
      <c r="BK10" s="38">
        <f t="shared" si="8"/>
        <v>653.5</v>
      </c>
      <c r="BL10" s="38">
        <v>690</v>
      </c>
      <c r="BM10" s="38">
        <f t="shared" si="40"/>
        <v>700.3499999999999</v>
      </c>
      <c r="BN10" s="38">
        <f t="shared" si="41"/>
        <v>660.035</v>
      </c>
      <c r="BO10" s="65">
        <f t="shared" si="42"/>
        <v>531.96</v>
      </c>
      <c r="BP10" s="87">
        <v>532</v>
      </c>
      <c r="BQ10" s="61">
        <f>CEILING(589.16,0.5)</f>
        <v>589.5</v>
      </c>
      <c r="BR10" s="38">
        <f t="shared" si="9"/>
        <v>700.5</v>
      </c>
      <c r="BS10" s="38">
        <v>737.5</v>
      </c>
      <c r="BT10" s="38">
        <f t="shared" si="43"/>
        <v>748.5624999999999</v>
      </c>
      <c r="BU10" s="38">
        <f t="shared" si="44"/>
        <v>707.505</v>
      </c>
      <c r="BV10" s="65">
        <f t="shared" si="45"/>
        <v>613.08</v>
      </c>
      <c r="BW10" s="87">
        <v>613.5</v>
      </c>
      <c r="BX10" s="61">
        <f>CEILING(686.92,0.5)</f>
        <v>687</v>
      </c>
      <c r="BY10" s="38">
        <f t="shared" si="10"/>
        <v>749</v>
      </c>
      <c r="BZ10" s="38">
        <v>792.5</v>
      </c>
      <c r="CA10" s="39">
        <f t="shared" si="46"/>
        <v>804.3874999999999</v>
      </c>
      <c r="CB10" s="39">
        <f t="shared" si="47"/>
        <v>756.49</v>
      </c>
      <c r="CC10" s="66">
        <f t="shared" si="48"/>
        <v>714.48</v>
      </c>
      <c r="CD10" s="87">
        <v>714.5</v>
      </c>
      <c r="CE10" s="62">
        <f>CEILING(736.32,0.5)</f>
        <v>736.5</v>
      </c>
      <c r="CF10" s="39">
        <f t="shared" si="11"/>
        <v>804.5</v>
      </c>
      <c r="CG10" s="40">
        <v>855</v>
      </c>
      <c r="CH10" s="41">
        <f t="shared" si="49"/>
        <v>867.8249999999999</v>
      </c>
      <c r="CI10" s="42">
        <f t="shared" si="50"/>
        <v>812.545</v>
      </c>
      <c r="CJ10" s="68">
        <f t="shared" si="51"/>
        <v>765.96</v>
      </c>
      <c r="CK10" s="86">
        <v>766</v>
      </c>
      <c r="CL10" s="54">
        <f>CEILING(786.76,0.5)</f>
        <v>787</v>
      </c>
      <c r="CM10" s="36">
        <f t="shared" si="12"/>
        <v>868</v>
      </c>
      <c r="CN10" s="41">
        <f t="shared" si="52"/>
        <v>876.6800000000001</v>
      </c>
      <c r="CO10" s="69">
        <f t="shared" si="53"/>
        <v>818.48</v>
      </c>
      <c r="CP10" s="86">
        <v>818.5</v>
      </c>
      <c r="CQ10" s="86">
        <f>CEILING(845.52,0.5)</f>
        <v>846</v>
      </c>
      <c r="CR10" s="85">
        <f t="shared" si="54"/>
        <v>879.84</v>
      </c>
      <c r="CS10" s="86">
        <v>880</v>
      </c>
      <c r="CT10" s="118">
        <v>949</v>
      </c>
      <c r="CU10" s="72">
        <f t="shared" si="55"/>
        <v>986.96</v>
      </c>
      <c r="CV10" s="116">
        <v>949</v>
      </c>
    </row>
    <row r="11" spans="1:100" ht="27.75" customHeight="1" thickBot="1">
      <c r="A11" s="16">
        <v>4</v>
      </c>
      <c r="B11" s="17" t="s">
        <v>4</v>
      </c>
      <c r="C11" s="24">
        <v>244</v>
      </c>
      <c r="D11" s="29">
        <f t="shared" si="13"/>
        <v>247.65999999999997</v>
      </c>
      <c r="E11" s="29">
        <f t="shared" si="14"/>
        <v>248</v>
      </c>
      <c r="F11" s="25">
        <v>253.5</v>
      </c>
      <c r="G11" s="25">
        <f t="shared" si="15"/>
        <v>257.30249999999995</v>
      </c>
      <c r="H11" s="25">
        <f t="shared" si="16"/>
        <v>250.48</v>
      </c>
      <c r="I11" s="25">
        <f t="shared" si="0"/>
        <v>257.5</v>
      </c>
      <c r="J11" s="25">
        <v>265</v>
      </c>
      <c r="K11" s="25">
        <f t="shared" si="17"/>
        <v>268.97499999999997</v>
      </c>
      <c r="L11" s="38">
        <f t="shared" si="18"/>
        <v>260.075</v>
      </c>
      <c r="M11" s="61">
        <f>CEILING(260.52,0.5)</f>
        <v>261</v>
      </c>
      <c r="N11" s="38">
        <f t="shared" si="1"/>
        <v>269</v>
      </c>
      <c r="O11" s="38">
        <v>342</v>
      </c>
      <c r="P11" s="38">
        <f t="shared" si="19"/>
        <v>347.12999999999994</v>
      </c>
      <c r="Q11" s="38">
        <f t="shared" si="20"/>
        <v>271.69</v>
      </c>
      <c r="R11" s="65">
        <f t="shared" si="21"/>
        <v>271.44</v>
      </c>
      <c r="S11" s="94">
        <v>271.5</v>
      </c>
      <c r="T11" s="94">
        <f>CEILING(270.92,0.5)</f>
        <v>271</v>
      </c>
      <c r="U11" s="97">
        <f t="shared" si="2"/>
        <v>347.5</v>
      </c>
      <c r="V11" s="97">
        <v>368</v>
      </c>
      <c r="W11" s="97">
        <f t="shared" si="22"/>
        <v>373.52</v>
      </c>
      <c r="X11" s="97">
        <f t="shared" si="23"/>
        <v>350.975</v>
      </c>
      <c r="Y11" s="94">
        <f t="shared" si="24"/>
        <v>281.84000000000003</v>
      </c>
      <c r="Z11" s="94">
        <v>282</v>
      </c>
      <c r="AA11" s="77">
        <f>CEILING(282.88,0.5)</f>
        <v>283</v>
      </c>
      <c r="AB11" s="95">
        <f t="shared" si="3"/>
        <v>374</v>
      </c>
      <c r="AC11" s="95">
        <v>397.5</v>
      </c>
      <c r="AD11" s="95">
        <f t="shared" si="25"/>
        <v>403.4625</v>
      </c>
      <c r="AE11" s="95">
        <f t="shared" si="26"/>
        <v>377.74</v>
      </c>
      <c r="AF11" s="77">
        <f t="shared" si="27"/>
        <v>294.32</v>
      </c>
      <c r="AG11" s="94">
        <v>294.5</v>
      </c>
      <c r="AH11" s="94">
        <f>CEILING(365.04,0.5)</f>
        <v>365.5</v>
      </c>
      <c r="AI11" s="97">
        <f t="shared" si="4"/>
        <v>403.5</v>
      </c>
      <c r="AJ11" s="97">
        <v>431</v>
      </c>
      <c r="AK11" s="97">
        <f t="shared" si="28"/>
        <v>437.465</v>
      </c>
      <c r="AL11" s="97">
        <f t="shared" si="29"/>
        <v>407.535</v>
      </c>
      <c r="AM11" s="98">
        <f t="shared" si="30"/>
        <v>380.12</v>
      </c>
      <c r="AN11" s="94">
        <v>380.5</v>
      </c>
      <c r="AO11" s="77">
        <f>CEILING(393.12,0.5)</f>
        <v>393.5</v>
      </c>
      <c r="AP11" s="95">
        <f t="shared" si="5"/>
        <v>437.5</v>
      </c>
      <c r="AQ11" s="95">
        <v>496</v>
      </c>
      <c r="AR11" s="95">
        <f t="shared" si="31"/>
        <v>503.43999999999994</v>
      </c>
      <c r="AS11" s="95">
        <f t="shared" si="32"/>
        <v>441.875</v>
      </c>
      <c r="AT11" s="96">
        <f t="shared" si="33"/>
        <v>409.24</v>
      </c>
      <c r="AU11" s="94">
        <v>409.5</v>
      </c>
      <c r="AV11" s="61">
        <f>CEILING(424.32,0.5)</f>
        <v>424.5</v>
      </c>
      <c r="AW11" s="38">
        <f t="shared" si="6"/>
        <v>503.5</v>
      </c>
      <c r="AX11" s="38">
        <v>571.5</v>
      </c>
      <c r="AY11" s="38">
        <f t="shared" si="34"/>
        <v>580.0725</v>
      </c>
      <c r="AZ11" s="38">
        <f t="shared" si="35"/>
        <v>508.535</v>
      </c>
      <c r="BA11" s="65">
        <f t="shared" si="36"/>
        <v>441.48</v>
      </c>
      <c r="BB11" s="94">
        <v>441.5</v>
      </c>
      <c r="BC11" s="77">
        <f>CEILING(459.68,0.5)</f>
        <v>460</v>
      </c>
      <c r="BD11" s="95">
        <f t="shared" si="7"/>
        <v>580.5</v>
      </c>
      <c r="BE11" s="95">
        <v>667</v>
      </c>
      <c r="BF11" s="95">
        <f t="shared" si="37"/>
        <v>677.0049999999999</v>
      </c>
      <c r="BG11" s="95">
        <f t="shared" si="38"/>
        <v>586.305</v>
      </c>
      <c r="BH11" s="96">
        <f t="shared" si="39"/>
        <v>478.40000000000003</v>
      </c>
      <c r="BI11" s="94">
        <v>478.5</v>
      </c>
      <c r="BJ11" s="61">
        <f>CEILING(529.36,0.5)</f>
        <v>529.5</v>
      </c>
      <c r="BK11" s="38">
        <f t="shared" si="8"/>
        <v>677.5</v>
      </c>
      <c r="BL11" s="38">
        <v>714.5</v>
      </c>
      <c r="BM11" s="38">
        <f t="shared" si="40"/>
        <v>725.2175</v>
      </c>
      <c r="BN11" s="38">
        <f t="shared" si="41"/>
        <v>684.275</v>
      </c>
      <c r="BO11" s="65">
        <f t="shared" si="42"/>
        <v>550.6800000000001</v>
      </c>
      <c r="BP11" s="94">
        <v>551</v>
      </c>
      <c r="BQ11" s="77">
        <f>CEILING(609.96,0.5)</f>
        <v>610</v>
      </c>
      <c r="BR11" s="95">
        <f t="shared" si="9"/>
        <v>725.5</v>
      </c>
      <c r="BS11" s="95">
        <v>764.5</v>
      </c>
      <c r="BT11" s="95">
        <f t="shared" si="43"/>
        <v>775.9675</v>
      </c>
      <c r="BU11" s="95">
        <f t="shared" si="44"/>
        <v>732.755</v>
      </c>
      <c r="BV11" s="96">
        <f t="shared" si="45"/>
        <v>634.4</v>
      </c>
      <c r="BW11" s="94">
        <v>634.5</v>
      </c>
      <c r="BX11" s="61">
        <f>CEILING(711.88,0.5)</f>
        <v>712</v>
      </c>
      <c r="BY11" s="38">
        <f t="shared" si="10"/>
        <v>776</v>
      </c>
      <c r="BZ11" s="38">
        <v>821.5</v>
      </c>
      <c r="CA11" s="39">
        <f t="shared" si="46"/>
        <v>833.8224999999999</v>
      </c>
      <c r="CB11" s="39">
        <f t="shared" si="47"/>
        <v>783.76</v>
      </c>
      <c r="CC11" s="66">
        <f t="shared" si="48"/>
        <v>740.48</v>
      </c>
      <c r="CD11" s="87">
        <v>740.5</v>
      </c>
      <c r="CE11" s="62">
        <f>CEILING(762.32,0.5)</f>
        <v>762.5</v>
      </c>
      <c r="CF11" s="39">
        <f t="shared" si="11"/>
        <v>834</v>
      </c>
      <c r="CG11" s="40">
        <v>886</v>
      </c>
      <c r="CH11" s="41">
        <f t="shared" si="49"/>
        <v>899.29</v>
      </c>
      <c r="CI11" s="42">
        <f t="shared" si="50"/>
        <v>842.34</v>
      </c>
      <c r="CJ11" s="68">
        <f t="shared" si="51"/>
        <v>793</v>
      </c>
      <c r="CK11" s="86">
        <v>793</v>
      </c>
      <c r="CL11" s="54">
        <f>CEILING(815.36,0.5)</f>
        <v>815.5</v>
      </c>
      <c r="CM11" s="36">
        <f t="shared" si="12"/>
        <v>899.5</v>
      </c>
      <c r="CN11" s="41">
        <f t="shared" si="52"/>
        <v>908.495</v>
      </c>
      <c r="CO11" s="69">
        <f t="shared" si="53"/>
        <v>848.12</v>
      </c>
      <c r="CP11" s="86">
        <v>848.5</v>
      </c>
      <c r="CQ11" s="86">
        <f>CEILING(876.2,0.5)</f>
        <v>876.5</v>
      </c>
      <c r="CR11" s="75">
        <f t="shared" si="54"/>
        <v>911.5600000000001</v>
      </c>
      <c r="CS11" s="86">
        <v>912</v>
      </c>
      <c r="CT11" s="84">
        <v>983</v>
      </c>
      <c r="CU11" s="72">
        <f t="shared" si="55"/>
        <v>1022.32</v>
      </c>
      <c r="CV11" s="116">
        <v>983</v>
      </c>
    </row>
    <row r="12" spans="1:100" ht="27.75" customHeight="1" thickBot="1">
      <c r="A12" s="16">
        <v>5</v>
      </c>
      <c r="B12" s="17" t="s">
        <v>5</v>
      </c>
      <c r="C12" s="24">
        <v>250.5</v>
      </c>
      <c r="D12" s="29">
        <f t="shared" si="13"/>
        <v>254.25749999999996</v>
      </c>
      <c r="E12" s="29">
        <f t="shared" si="14"/>
        <v>254.5</v>
      </c>
      <c r="F12" s="25">
        <v>261</v>
      </c>
      <c r="G12" s="25">
        <f t="shared" si="15"/>
        <v>264.91499999999996</v>
      </c>
      <c r="H12" s="25">
        <f t="shared" si="16"/>
        <v>257.045</v>
      </c>
      <c r="I12" s="25">
        <f t="shared" si="0"/>
        <v>265</v>
      </c>
      <c r="J12" s="25">
        <v>274</v>
      </c>
      <c r="K12" s="25">
        <f t="shared" si="17"/>
        <v>278.10999999999996</v>
      </c>
      <c r="L12" s="38">
        <f t="shared" si="18"/>
        <v>267.65</v>
      </c>
      <c r="M12" s="61">
        <f>CEILING(267.8,0.5)</f>
        <v>268</v>
      </c>
      <c r="N12" s="38">
        <f t="shared" si="1"/>
        <v>278.5</v>
      </c>
      <c r="O12" s="38">
        <v>353</v>
      </c>
      <c r="P12" s="38">
        <f t="shared" si="19"/>
        <v>358.29499999999996</v>
      </c>
      <c r="Q12" s="38">
        <f t="shared" si="20"/>
        <v>281.285</v>
      </c>
      <c r="R12" s="65">
        <f t="shared" si="21"/>
        <v>278.72</v>
      </c>
      <c r="S12" s="87">
        <v>279</v>
      </c>
      <c r="T12" s="87">
        <f>CEILING(278.72,0.5)</f>
        <v>279</v>
      </c>
      <c r="U12" s="92">
        <f t="shared" si="2"/>
        <v>358.5</v>
      </c>
      <c r="V12" s="92">
        <v>381</v>
      </c>
      <c r="W12" s="92">
        <f t="shared" si="22"/>
        <v>386.715</v>
      </c>
      <c r="X12" s="92">
        <f t="shared" si="23"/>
        <v>362.085</v>
      </c>
      <c r="Y12" s="87">
        <f t="shared" si="24"/>
        <v>290.16</v>
      </c>
      <c r="Z12" s="87">
        <v>290.5</v>
      </c>
      <c r="AA12" s="87">
        <f>CEILING(292.76,0.5)</f>
        <v>293</v>
      </c>
      <c r="AB12" s="92">
        <f t="shared" si="3"/>
        <v>387</v>
      </c>
      <c r="AC12" s="92">
        <v>411</v>
      </c>
      <c r="AD12" s="92">
        <f t="shared" si="25"/>
        <v>417.16499999999996</v>
      </c>
      <c r="AE12" s="92">
        <f t="shared" si="26"/>
        <v>390.87</v>
      </c>
      <c r="AF12" s="87">
        <f t="shared" si="27"/>
        <v>304.72</v>
      </c>
      <c r="AG12" s="87">
        <v>305</v>
      </c>
      <c r="AH12" s="76">
        <f>CEILING(377,0.5)</f>
        <v>377</v>
      </c>
      <c r="AI12" s="57">
        <f t="shared" si="4"/>
        <v>417.5</v>
      </c>
      <c r="AJ12" s="57">
        <v>445.5</v>
      </c>
      <c r="AK12" s="57">
        <f t="shared" si="28"/>
        <v>452.18249999999995</v>
      </c>
      <c r="AL12" s="57">
        <f t="shared" si="29"/>
        <v>421.675</v>
      </c>
      <c r="AM12" s="91">
        <f t="shared" si="30"/>
        <v>392.08000000000004</v>
      </c>
      <c r="AN12" s="87">
        <v>392.5</v>
      </c>
      <c r="AO12" s="76">
        <f>CEILING(406.64,0.5)</f>
        <v>407</v>
      </c>
      <c r="AP12" s="57">
        <f t="shared" si="5"/>
        <v>452.5</v>
      </c>
      <c r="AQ12" s="57">
        <v>513</v>
      </c>
      <c r="AR12" s="57">
        <f t="shared" si="31"/>
        <v>520.6949999999999</v>
      </c>
      <c r="AS12" s="57">
        <f t="shared" si="32"/>
        <v>457.025</v>
      </c>
      <c r="AT12" s="91">
        <f t="shared" si="33"/>
        <v>423.28000000000003</v>
      </c>
      <c r="AU12" s="94">
        <v>423.5</v>
      </c>
      <c r="AV12" s="77">
        <f>CEILING(438.88,0.5)</f>
        <v>439</v>
      </c>
      <c r="AW12" s="95">
        <f t="shared" si="6"/>
        <v>521</v>
      </c>
      <c r="AX12" s="95">
        <v>592</v>
      </c>
      <c r="AY12" s="95">
        <f t="shared" si="34"/>
        <v>600.88</v>
      </c>
      <c r="AZ12" s="95">
        <f t="shared" si="35"/>
        <v>526.21</v>
      </c>
      <c r="BA12" s="96">
        <f t="shared" si="36"/>
        <v>456.56</v>
      </c>
      <c r="BB12" s="94">
        <v>457</v>
      </c>
      <c r="BC12" s="76">
        <f>CEILING(475.8,0.5)</f>
        <v>476</v>
      </c>
      <c r="BD12" s="57">
        <f t="shared" si="7"/>
        <v>601</v>
      </c>
      <c r="BE12" s="57">
        <v>691</v>
      </c>
      <c r="BF12" s="57">
        <f t="shared" si="37"/>
        <v>701.3649999999999</v>
      </c>
      <c r="BG12" s="57">
        <f t="shared" si="38"/>
        <v>607.01</v>
      </c>
      <c r="BH12" s="91">
        <f t="shared" si="39"/>
        <v>495.04</v>
      </c>
      <c r="BI12" s="94">
        <v>495.5</v>
      </c>
      <c r="BJ12" s="77">
        <f>CEILING(547.56,0.5)</f>
        <v>548</v>
      </c>
      <c r="BK12" s="95">
        <f t="shared" si="8"/>
        <v>701.5</v>
      </c>
      <c r="BL12" s="95">
        <v>740.5</v>
      </c>
      <c r="BM12" s="95">
        <f t="shared" si="40"/>
        <v>751.6075</v>
      </c>
      <c r="BN12" s="95">
        <f t="shared" si="41"/>
        <v>708.515</v>
      </c>
      <c r="BO12" s="96">
        <f t="shared" si="42"/>
        <v>569.9200000000001</v>
      </c>
      <c r="BP12" s="94">
        <v>570</v>
      </c>
      <c r="BQ12" s="76">
        <f>CEILING(631.8,0.5)</f>
        <v>632</v>
      </c>
      <c r="BR12" s="57">
        <f t="shared" si="9"/>
        <v>752</v>
      </c>
      <c r="BS12" s="57">
        <v>793</v>
      </c>
      <c r="BT12" s="57">
        <f t="shared" si="43"/>
        <v>804.8949999999999</v>
      </c>
      <c r="BU12" s="57">
        <f t="shared" si="44"/>
        <v>759.52</v>
      </c>
      <c r="BV12" s="91">
        <f t="shared" si="45"/>
        <v>657.28</v>
      </c>
      <c r="BW12" s="94">
        <v>657.5</v>
      </c>
      <c r="BX12" s="77">
        <f>CEILING(737.36,0.5)</f>
        <v>737.5</v>
      </c>
      <c r="BY12" s="95">
        <f t="shared" si="10"/>
        <v>805</v>
      </c>
      <c r="BZ12" s="95">
        <v>850.5</v>
      </c>
      <c r="CA12" s="58">
        <f t="shared" si="46"/>
        <v>863.2574999999999</v>
      </c>
      <c r="CB12" s="58">
        <f t="shared" si="47"/>
        <v>813.05</v>
      </c>
      <c r="CC12" s="101">
        <f t="shared" si="48"/>
        <v>767</v>
      </c>
      <c r="CD12" s="94">
        <v>767</v>
      </c>
      <c r="CE12" s="62">
        <f>CEILING(790.4,0.5)</f>
        <v>790.5</v>
      </c>
      <c r="CF12" s="39">
        <f t="shared" si="11"/>
        <v>863.5</v>
      </c>
      <c r="CG12" s="40">
        <v>917</v>
      </c>
      <c r="CH12" s="41">
        <f t="shared" si="49"/>
        <v>930.7549999999999</v>
      </c>
      <c r="CI12" s="42">
        <f t="shared" si="50"/>
        <v>872.135</v>
      </c>
      <c r="CJ12" s="68">
        <f t="shared" si="51"/>
        <v>822.12</v>
      </c>
      <c r="CK12" s="86">
        <v>822.5</v>
      </c>
      <c r="CL12" s="54">
        <f>CEILING(846.04,0.5)</f>
        <v>846.5</v>
      </c>
      <c r="CM12" s="37">
        <f t="shared" si="12"/>
        <v>931</v>
      </c>
      <c r="CN12" s="41">
        <f t="shared" si="52"/>
        <v>940.3100000000001</v>
      </c>
      <c r="CO12" s="69">
        <f t="shared" si="53"/>
        <v>880.36</v>
      </c>
      <c r="CP12" s="86">
        <v>880.5</v>
      </c>
      <c r="CQ12" s="74">
        <f>CEILING(907.4,0.5)</f>
        <v>907.5</v>
      </c>
      <c r="CR12" s="85">
        <f t="shared" si="54"/>
        <v>943.8000000000001</v>
      </c>
      <c r="CS12" s="86">
        <v>944</v>
      </c>
      <c r="CT12" s="84">
        <v>1018</v>
      </c>
      <c r="CU12" s="72">
        <f t="shared" si="55"/>
        <v>1058.72</v>
      </c>
      <c r="CV12" s="116">
        <v>1018</v>
      </c>
    </row>
    <row r="13" spans="1:100" ht="27.75" customHeight="1" thickBot="1">
      <c r="A13" s="16">
        <v>6</v>
      </c>
      <c r="B13" s="17" t="s">
        <v>6</v>
      </c>
      <c r="C13" s="24">
        <v>257.5</v>
      </c>
      <c r="D13" s="29">
        <f t="shared" si="13"/>
        <v>261.36249999999995</v>
      </c>
      <c r="E13" s="29">
        <f t="shared" si="14"/>
        <v>261.5</v>
      </c>
      <c r="F13" s="25">
        <v>268</v>
      </c>
      <c r="G13" s="25">
        <f t="shared" si="15"/>
        <v>272.02</v>
      </c>
      <c r="H13" s="25">
        <f t="shared" si="16"/>
        <v>264.115</v>
      </c>
      <c r="I13" s="25">
        <f t="shared" si="0"/>
        <v>272.5</v>
      </c>
      <c r="J13" s="25">
        <v>282.5</v>
      </c>
      <c r="K13" s="25">
        <f t="shared" si="17"/>
        <v>286.73749999999995</v>
      </c>
      <c r="L13" s="38">
        <f t="shared" si="18"/>
        <v>275.225</v>
      </c>
      <c r="M13" s="61">
        <f>CEILING(275.08,0.5)</f>
        <v>275.5</v>
      </c>
      <c r="N13" s="38">
        <f t="shared" si="1"/>
        <v>287</v>
      </c>
      <c r="O13" s="38">
        <v>364</v>
      </c>
      <c r="P13" s="38">
        <f t="shared" si="19"/>
        <v>369.46</v>
      </c>
      <c r="Q13" s="38">
        <f t="shared" si="20"/>
        <v>289.87</v>
      </c>
      <c r="R13" s="65">
        <f t="shared" si="21"/>
        <v>286.52</v>
      </c>
      <c r="S13" s="94">
        <v>287</v>
      </c>
      <c r="T13" s="94">
        <f>CEILING(286.52,0.5)</f>
        <v>287</v>
      </c>
      <c r="U13" s="97">
        <f t="shared" si="2"/>
        <v>369.5</v>
      </c>
      <c r="V13" s="97">
        <v>393</v>
      </c>
      <c r="W13" s="97">
        <f t="shared" si="22"/>
        <v>398.895</v>
      </c>
      <c r="X13" s="97">
        <f t="shared" si="23"/>
        <v>373.195</v>
      </c>
      <c r="Y13" s="94">
        <f t="shared" si="24"/>
        <v>298.48</v>
      </c>
      <c r="Z13" s="94">
        <v>298.5</v>
      </c>
      <c r="AA13" s="94">
        <f>CEILING(301.6,0.5)</f>
        <v>302</v>
      </c>
      <c r="AB13" s="97">
        <f t="shared" si="3"/>
        <v>399</v>
      </c>
      <c r="AC13" s="97">
        <v>425.5</v>
      </c>
      <c r="AD13" s="97">
        <f t="shared" si="25"/>
        <v>431.88249999999994</v>
      </c>
      <c r="AE13" s="97">
        <f t="shared" si="26"/>
        <v>402.99</v>
      </c>
      <c r="AF13" s="94">
        <f t="shared" si="27"/>
        <v>314.08</v>
      </c>
      <c r="AG13" s="94">
        <v>314.5</v>
      </c>
      <c r="AH13" s="77">
        <f>CEILING(388.44,0.5)</f>
        <v>388.5</v>
      </c>
      <c r="AI13" s="95">
        <f t="shared" si="4"/>
        <v>432</v>
      </c>
      <c r="AJ13" s="95">
        <v>460</v>
      </c>
      <c r="AK13" s="95">
        <f t="shared" si="28"/>
        <v>466.9</v>
      </c>
      <c r="AL13" s="95">
        <f t="shared" si="29"/>
        <v>436.32</v>
      </c>
      <c r="AM13" s="96">
        <f t="shared" si="30"/>
        <v>404.04</v>
      </c>
      <c r="AN13" s="94">
        <v>404.5</v>
      </c>
      <c r="AO13" s="77">
        <f>CEILING(419.12,0.5)</f>
        <v>419.5</v>
      </c>
      <c r="AP13" s="95">
        <f t="shared" si="5"/>
        <v>467</v>
      </c>
      <c r="AQ13" s="95">
        <v>531</v>
      </c>
      <c r="AR13" s="95">
        <f t="shared" si="31"/>
        <v>538.9649999999999</v>
      </c>
      <c r="AS13" s="95">
        <f t="shared" si="32"/>
        <v>471.67</v>
      </c>
      <c r="AT13" s="96">
        <f t="shared" si="33"/>
        <v>436.28000000000003</v>
      </c>
      <c r="AU13" s="94">
        <v>436.5</v>
      </c>
      <c r="AV13" s="94">
        <f>CEILING(453.96,0.5)</f>
        <v>454</v>
      </c>
      <c r="AW13" s="97">
        <f t="shared" si="6"/>
        <v>539</v>
      </c>
      <c r="AX13" s="97">
        <v>612</v>
      </c>
      <c r="AY13" s="97">
        <f t="shared" si="34"/>
        <v>621.18</v>
      </c>
      <c r="AZ13" s="97">
        <f t="shared" si="35"/>
        <v>544.39</v>
      </c>
      <c r="BA13" s="98">
        <f t="shared" si="36"/>
        <v>472.16</v>
      </c>
      <c r="BB13" s="94">
        <v>472.5</v>
      </c>
      <c r="BC13" s="77">
        <f>CEILING(490.88,0.5)</f>
        <v>491</v>
      </c>
      <c r="BD13" s="95">
        <f t="shared" si="7"/>
        <v>621.5</v>
      </c>
      <c r="BE13" s="95">
        <v>714.5</v>
      </c>
      <c r="BF13" s="95">
        <f t="shared" si="37"/>
        <v>725.2175</v>
      </c>
      <c r="BG13" s="95">
        <f t="shared" si="38"/>
        <v>627.715</v>
      </c>
      <c r="BH13" s="96">
        <f t="shared" si="39"/>
        <v>510.64000000000004</v>
      </c>
      <c r="BI13" s="94">
        <v>511</v>
      </c>
      <c r="BJ13" s="94">
        <f>CEILING(566.28,0.5)</f>
        <v>566.5</v>
      </c>
      <c r="BK13" s="97">
        <f t="shared" si="8"/>
        <v>725.5</v>
      </c>
      <c r="BL13" s="97">
        <v>765.5</v>
      </c>
      <c r="BM13" s="97">
        <f t="shared" si="40"/>
        <v>776.9825</v>
      </c>
      <c r="BN13" s="97">
        <f t="shared" si="41"/>
        <v>732.755</v>
      </c>
      <c r="BO13" s="98">
        <f t="shared" si="42"/>
        <v>589.16</v>
      </c>
      <c r="BP13" s="94">
        <v>589.5</v>
      </c>
      <c r="BQ13" s="77">
        <f>CEILING(653.12,0.5)</f>
        <v>653.5</v>
      </c>
      <c r="BR13" s="95">
        <f t="shared" si="9"/>
        <v>777</v>
      </c>
      <c r="BS13" s="95">
        <v>819.5</v>
      </c>
      <c r="BT13" s="95">
        <f t="shared" si="43"/>
        <v>831.7924999999999</v>
      </c>
      <c r="BU13" s="95">
        <f t="shared" si="44"/>
        <v>784.77</v>
      </c>
      <c r="BV13" s="96">
        <f t="shared" si="45"/>
        <v>679.64</v>
      </c>
      <c r="BW13" s="94">
        <v>680</v>
      </c>
      <c r="BX13" s="76">
        <f>CEILING(762.32,0.5)</f>
        <v>762.5</v>
      </c>
      <c r="BY13" s="57">
        <f t="shared" si="10"/>
        <v>832</v>
      </c>
      <c r="BZ13" s="57">
        <v>880</v>
      </c>
      <c r="CA13" s="99">
        <f t="shared" si="46"/>
        <v>893.1999999999999</v>
      </c>
      <c r="CB13" s="99">
        <f t="shared" si="47"/>
        <v>840.32</v>
      </c>
      <c r="CC13" s="100">
        <f t="shared" si="48"/>
        <v>793</v>
      </c>
      <c r="CD13" s="87">
        <v>793</v>
      </c>
      <c r="CE13" s="62">
        <f>CEILING(816.4,0.5)</f>
        <v>816.5</v>
      </c>
      <c r="CF13" s="39">
        <f t="shared" si="11"/>
        <v>893.5</v>
      </c>
      <c r="CG13" s="40">
        <v>949</v>
      </c>
      <c r="CH13" s="41">
        <f t="shared" si="49"/>
        <v>963.2349999999999</v>
      </c>
      <c r="CI13" s="42">
        <f t="shared" si="50"/>
        <v>902.4350000000001</v>
      </c>
      <c r="CJ13" s="68">
        <f t="shared" si="51"/>
        <v>849.1600000000001</v>
      </c>
      <c r="CK13" s="86">
        <v>849.5</v>
      </c>
      <c r="CL13" s="54">
        <f>CEILING(874.12,0.5)</f>
        <v>874.5</v>
      </c>
      <c r="CM13" s="48">
        <f t="shared" si="12"/>
        <v>963.5</v>
      </c>
      <c r="CN13" s="55">
        <f t="shared" si="52"/>
        <v>973.135</v>
      </c>
      <c r="CO13" s="69">
        <f t="shared" si="53"/>
        <v>909.48</v>
      </c>
      <c r="CP13" s="86">
        <v>909.5</v>
      </c>
      <c r="CQ13" s="86">
        <f>CEILING(938.6,0.5)</f>
        <v>939</v>
      </c>
      <c r="CR13" s="85">
        <f t="shared" si="54"/>
        <v>976.5600000000001</v>
      </c>
      <c r="CS13" s="86">
        <v>977</v>
      </c>
      <c r="CT13" s="84">
        <v>1053</v>
      </c>
      <c r="CU13" s="72">
        <f t="shared" si="55"/>
        <v>1095.1200000000001</v>
      </c>
      <c r="CV13" s="116">
        <v>1053</v>
      </c>
    </row>
    <row r="14" spans="1:100" ht="27.75" customHeight="1" thickBot="1">
      <c r="A14" s="16">
        <v>7</v>
      </c>
      <c r="B14" s="17" t="s">
        <v>7</v>
      </c>
      <c r="C14" s="24">
        <v>265</v>
      </c>
      <c r="D14" s="29">
        <f t="shared" si="13"/>
        <v>268.97499999999997</v>
      </c>
      <c r="E14" s="29">
        <f t="shared" si="14"/>
        <v>269</v>
      </c>
      <c r="F14" s="25">
        <v>275.5</v>
      </c>
      <c r="G14" s="25">
        <f t="shared" si="15"/>
        <v>279.6325</v>
      </c>
      <c r="H14" s="25">
        <f t="shared" si="16"/>
        <v>271.69</v>
      </c>
      <c r="I14" s="25">
        <f t="shared" si="0"/>
        <v>280</v>
      </c>
      <c r="J14" s="25">
        <v>290.5</v>
      </c>
      <c r="K14" s="25">
        <f t="shared" si="17"/>
        <v>294.85749999999996</v>
      </c>
      <c r="L14" s="38">
        <f t="shared" si="18"/>
        <v>282.8</v>
      </c>
      <c r="M14" s="61">
        <f>CEILING(282.88,0.5)</f>
        <v>283</v>
      </c>
      <c r="N14" s="38">
        <f t="shared" si="1"/>
        <v>295</v>
      </c>
      <c r="O14" s="38">
        <v>376</v>
      </c>
      <c r="P14" s="38">
        <f t="shared" si="19"/>
        <v>381.64</v>
      </c>
      <c r="Q14" s="38">
        <f t="shared" si="20"/>
        <v>297.95</v>
      </c>
      <c r="R14" s="65">
        <f t="shared" si="21"/>
        <v>294.32</v>
      </c>
      <c r="S14" s="94">
        <v>294.5</v>
      </c>
      <c r="T14" s="94">
        <f>CEILING(294.32,0.5)</f>
        <v>294.5</v>
      </c>
      <c r="U14" s="97">
        <f t="shared" si="2"/>
        <v>382</v>
      </c>
      <c r="V14" s="97">
        <v>405</v>
      </c>
      <c r="W14" s="97">
        <f t="shared" si="22"/>
        <v>411.075</v>
      </c>
      <c r="X14" s="97">
        <f t="shared" si="23"/>
        <v>385.82</v>
      </c>
      <c r="Y14" s="94">
        <f t="shared" si="24"/>
        <v>306.28000000000003</v>
      </c>
      <c r="Z14" s="94">
        <v>306.5</v>
      </c>
      <c r="AA14" s="94">
        <f>CEILING(309.92,0.5)</f>
        <v>310</v>
      </c>
      <c r="AB14" s="97">
        <f t="shared" si="3"/>
        <v>411.5</v>
      </c>
      <c r="AC14" s="97">
        <v>438.5</v>
      </c>
      <c r="AD14" s="97">
        <f t="shared" si="25"/>
        <v>445.07749999999993</v>
      </c>
      <c r="AE14" s="97">
        <f t="shared" si="26"/>
        <v>415.615</v>
      </c>
      <c r="AF14" s="94">
        <f t="shared" si="27"/>
        <v>322.40000000000003</v>
      </c>
      <c r="AG14" s="94">
        <v>322.5</v>
      </c>
      <c r="AH14" s="94">
        <f>CEILING(401.44,0.5)</f>
        <v>401.5</v>
      </c>
      <c r="AI14" s="97">
        <f t="shared" si="4"/>
        <v>445.5</v>
      </c>
      <c r="AJ14" s="97">
        <v>476</v>
      </c>
      <c r="AK14" s="97">
        <f t="shared" si="28"/>
        <v>483.13999999999993</v>
      </c>
      <c r="AL14" s="97">
        <f t="shared" si="29"/>
        <v>449.955</v>
      </c>
      <c r="AM14" s="98">
        <f t="shared" si="30"/>
        <v>417.56</v>
      </c>
      <c r="AN14" s="94">
        <v>418</v>
      </c>
      <c r="AO14" s="94">
        <f>CEILING(432.64,0.5)</f>
        <v>433</v>
      </c>
      <c r="AP14" s="97">
        <f t="shared" si="5"/>
        <v>483.5</v>
      </c>
      <c r="AQ14" s="97">
        <v>548.5</v>
      </c>
      <c r="AR14" s="97">
        <f t="shared" si="31"/>
        <v>556.7275</v>
      </c>
      <c r="AS14" s="97">
        <f t="shared" si="32"/>
        <v>488.335</v>
      </c>
      <c r="AT14" s="98">
        <f t="shared" si="33"/>
        <v>450.32</v>
      </c>
      <c r="AU14" s="94">
        <v>450.5</v>
      </c>
      <c r="AV14" s="94">
        <f>CEILING(468,0.5)</f>
        <v>468</v>
      </c>
      <c r="AW14" s="97">
        <f t="shared" si="6"/>
        <v>557</v>
      </c>
      <c r="AX14" s="97">
        <v>633</v>
      </c>
      <c r="AY14" s="97">
        <f t="shared" si="34"/>
        <v>642.4949999999999</v>
      </c>
      <c r="AZ14" s="97">
        <f t="shared" si="35"/>
        <v>562.57</v>
      </c>
      <c r="BA14" s="98">
        <f t="shared" si="36"/>
        <v>486.72</v>
      </c>
      <c r="BB14" s="94">
        <v>487</v>
      </c>
      <c r="BC14" s="94">
        <f>CEILING(508.04,0.5)</f>
        <v>508.5</v>
      </c>
      <c r="BD14" s="97">
        <f t="shared" si="7"/>
        <v>642.5</v>
      </c>
      <c r="BE14" s="97">
        <v>738.5</v>
      </c>
      <c r="BF14" s="97">
        <f t="shared" si="37"/>
        <v>749.5774999999999</v>
      </c>
      <c r="BG14" s="97">
        <f t="shared" si="38"/>
        <v>648.925</v>
      </c>
      <c r="BH14" s="98">
        <f t="shared" si="39"/>
        <v>528.84</v>
      </c>
      <c r="BI14" s="94">
        <v>529</v>
      </c>
      <c r="BJ14" s="94">
        <f>CEILING(585.52,0.5)</f>
        <v>586</v>
      </c>
      <c r="BK14" s="97">
        <f t="shared" si="8"/>
        <v>750</v>
      </c>
      <c r="BL14" s="97">
        <v>792</v>
      </c>
      <c r="BM14" s="97">
        <f t="shared" si="40"/>
        <v>803.8799999999999</v>
      </c>
      <c r="BN14" s="97">
        <f t="shared" si="41"/>
        <v>757.5</v>
      </c>
      <c r="BO14" s="98">
        <f t="shared" si="42"/>
        <v>609.44</v>
      </c>
      <c r="BP14" s="94">
        <v>609.5</v>
      </c>
      <c r="BQ14" s="94">
        <f>CEILING(674.96,0.5)</f>
        <v>675</v>
      </c>
      <c r="BR14" s="97">
        <f t="shared" si="9"/>
        <v>804</v>
      </c>
      <c r="BS14" s="97">
        <v>847</v>
      </c>
      <c r="BT14" s="97">
        <f t="shared" si="43"/>
        <v>859.7049999999999</v>
      </c>
      <c r="BU14" s="97">
        <f t="shared" si="44"/>
        <v>812.04</v>
      </c>
      <c r="BV14" s="98">
        <f t="shared" si="45"/>
        <v>702</v>
      </c>
      <c r="BW14" s="94">
        <v>702</v>
      </c>
      <c r="BX14" s="77">
        <f>CEILING(787.8,0.5)</f>
        <v>788</v>
      </c>
      <c r="BY14" s="95">
        <f t="shared" si="10"/>
        <v>860</v>
      </c>
      <c r="BZ14" s="95">
        <v>909</v>
      </c>
      <c r="CA14" s="58">
        <f t="shared" si="46"/>
        <v>922.6349999999999</v>
      </c>
      <c r="CB14" s="58">
        <f t="shared" si="47"/>
        <v>868.6</v>
      </c>
      <c r="CC14" s="101">
        <f t="shared" si="48"/>
        <v>819.52</v>
      </c>
      <c r="CD14" s="94">
        <v>820</v>
      </c>
      <c r="CE14" s="62">
        <f>CEILING(845,0.5)</f>
        <v>845</v>
      </c>
      <c r="CF14" s="39">
        <f t="shared" si="11"/>
        <v>923</v>
      </c>
      <c r="CG14" s="40">
        <v>981.5</v>
      </c>
      <c r="CH14" s="41">
        <f t="shared" si="49"/>
        <v>996.2224999999999</v>
      </c>
      <c r="CI14" s="42">
        <f t="shared" si="50"/>
        <v>932.23</v>
      </c>
      <c r="CJ14" s="68">
        <f t="shared" si="51"/>
        <v>878.8000000000001</v>
      </c>
      <c r="CK14" s="86">
        <v>879</v>
      </c>
      <c r="CL14" s="54">
        <f>CEILING(903.76,0.5)</f>
        <v>904</v>
      </c>
      <c r="CM14" s="37">
        <f t="shared" si="12"/>
        <v>996.5</v>
      </c>
      <c r="CN14" s="41">
        <f t="shared" si="52"/>
        <v>1006.465</v>
      </c>
      <c r="CO14" s="69">
        <f t="shared" si="53"/>
        <v>940.1600000000001</v>
      </c>
      <c r="CP14" s="86">
        <v>940.5</v>
      </c>
      <c r="CQ14" s="86">
        <f>CEILING(969.8,0.5)</f>
        <v>970</v>
      </c>
      <c r="CR14" s="85">
        <f t="shared" si="54"/>
        <v>1008.8000000000001</v>
      </c>
      <c r="CS14" s="86">
        <v>1009</v>
      </c>
      <c r="CT14" s="84">
        <v>1089</v>
      </c>
      <c r="CU14" s="72">
        <f t="shared" si="55"/>
        <v>1132.56</v>
      </c>
      <c r="CV14" s="116">
        <v>1089</v>
      </c>
    </row>
    <row r="15" spans="1:100" ht="27.75" customHeight="1" thickBot="1">
      <c r="A15" s="16">
        <v>8</v>
      </c>
      <c r="B15" s="17" t="s">
        <v>8</v>
      </c>
      <c r="C15" s="24">
        <v>272.5</v>
      </c>
      <c r="D15" s="29">
        <f t="shared" si="13"/>
        <v>276.5875</v>
      </c>
      <c r="E15" s="29">
        <f t="shared" si="14"/>
        <v>277</v>
      </c>
      <c r="F15" s="25">
        <v>283.5</v>
      </c>
      <c r="G15" s="25">
        <f t="shared" si="15"/>
        <v>287.7525</v>
      </c>
      <c r="H15" s="25">
        <f t="shared" si="16"/>
        <v>279.77</v>
      </c>
      <c r="I15" s="25">
        <f t="shared" si="0"/>
        <v>288</v>
      </c>
      <c r="J15" s="25">
        <v>299</v>
      </c>
      <c r="K15" s="25">
        <f t="shared" si="17"/>
        <v>303.48499999999996</v>
      </c>
      <c r="L15" s="38">
        <f t="shared" si="18"/>
        <v>290.88</v>
      </c>
      <c r="M15" s="61">
        <f>CEILING(291.2,0.5)</f>
        <v>291.5</v>
      </c>
      <c r="N15" s="38">
        <f t="shared" si="1"/>
        <v>303.5</v>
      </c>
      <c r="O15" s="38">
        <v>387</v>
      </c>
      <c r="P15" s="38">
        <f t="shared" si="19"/>
        <v>392.80499999999995</v>
      </c>
      <c r="Q15" s="38">
        <f t="shared" si="20"/>
        <v>306.535</v>
      </c>
      <c r="R15" s="65">
        <f t="shared" si="21"/>
        <v>303.16</v>
      </c>
      <c r="S15" s="87">
        <v>303.5</v>
      </c>
      <c r="T15" s="87">
        <f>CEILING(302.64,0.5)</f>
        <v>303</v>
      </c>
      <c r="U15" s="92">
        <f t="shared" si="2"/>
        <v>393</v>
      </c>
      <c r="V15" s="92">
        <v>417.5</v>
      </c>
      <c r="W15" s="92">
        <f t="shared" si="22"/>
        <v>423.76249999999993</v>
      </c>
      <c r="X15" s="92">
        <f t="shared" si="23"/>
        <v>396.93</v>
      </c>
      <c r="Y15" s="87">
        <f t="shared" si="24"/>
        <v>315.12</v>
      </c>
      <c r="Z15" s="87">
        <v>315.5</v>
      </c>
      <c r="AA15" s="87">
        <f>CEILING(319.28,0.5)</f>
        <v>319.5</v>
      </c>
      <c r="AB15" s="92">
        <f t="shared" si="3"/>
        <v>424</v>
      </c>
      <c r="AC15" s="92">
        <v>452.5</v>
      </c>
      <c r="AD15" s="92">
        <f t="shared" si="25"/>
        <v>459.28749999999997</v>
      </c>
      <c r="AE15" s="92">
        <f t="shared" si="26"/>
        <v>428.24</v>
      </c>
      <c r="AF15" s="87">
        <f t="shared" si="27"/>
        <v>332.28000000000003</v>
      </c>
      <c r="AG15" s="87">
        <v>332.5</v>
      </c>
      <c r="AH15" s="87">
        <f>CEILING(412.88,0.5)</f>
        <v>413</v>
      </c>
      <c r="AI15" s="92">
        <f t="shared" si="4"/>
        <v>459.5</v>
      </c>
      <c r="AJ15" s="92">
        <v>490.5</v>
      </c>
      <c r="AK15" s="92">
        <f t="shared" si="28"/>
        <v>497.85749999999996</v>
      </c>
      <c r="AL15" s="92">
        <f t="shared" si="29"/>
        <v>464.095</v>
      </c>
      <c r="AM15" s="93">
        <f t="shared" si="30"/>
        <v>429.52000000000004</v>
      </c>
      <c r="AN15" s="87">
        <v>430</v>
      </c>
      <c r="AO15" s="87">
        <f>CEILING(445.64,0.5)</f>
        <v>446</v>
      </c>
      <c r="AP15" s="92">
        <f t="shared" si="5"/>
        <v>498</v>
      </c>
      <c r="AQ15" s="92">
        <v>565.5</v>
      </c>
      <c r="AR15" s="92">
        <f t="shared" si="31"/>
        <v>573.9825</v>
      </c>
      <c r="AS15" s="92">
        <f t="shared" si="32"/>
        <v>502.98</v>
      </c>
      <c r="AT15" s="93">
        <f t="shared" si="33"/>
        <v>463.84000000000003</v>
      </c>
      <c r="AU15" s="87">
        <v>464</v>
      </c>
      <c r="AV15" s="87">
        <f>CEILING(483.08,0.5)</f>
        <v>483.5</v>
      </c>
      <c r="AW15" s="92">
        <f t="shared" si="6"/>
        <v>574</v>
      </c>
      <c r="AX15" s="92">
        <v>652</v>
      </c>
      <c r="AY15" s="92">
        <f t="shared" si="34"/>
        <v>661.78</v>
      </c>
      <c r="AZ15" s="92">
        <f t="shared" si="35"/>
        <v>579.74</v>
      </c>
      <c r="BA15" s="93">
        <f t="shared" si="36"/>
        <v>502.84000000000003</v>
      </c>
      <c r="BB15" s="87">
        <v>503</v>
      </c>
      <c r="BC15" s="87">
        <f>CEILING(523.12,0.5)</f>
        <v>523.5</v>
      </c>
      <c r="BD15" s="92">
        <f t="shared" si="7"/>
        <v>662</v>
      </c>
      <c r="BE15" s="92">
        <v>762</v>
      </c>
      <c r="BF15" s="92">
        <f t="shared" si="37"/>
        <v>773.43</v>
      </c>
      <c r="BG15" s="92">
        <f t="shared" si="38"/>
        <v>668.62</v>
      </c>
      <c r="BH15" s="93">
        <f t="shared" si="39"/>
        <v>544.44</v>
      </c>
      <c r="BI15" s="87">
        <v>544.5</v>
      </c>
      <c r="BJ15" s="87">
        <f>CEILING(603.2,0.5)</f>
        <v>603.5</v>
      </c>
      <c r="BK15" s="92">
        <f t="shared" si="8"/>
        <v>773.5</v>
      </c>
      <c r="BL15" s="92">
        <v>816</v>
      </c>
      <c r="BM15" s="92">
        <f t="shared" si="40"/>
        <v>828.2399999999999</v>
      </c>
      <c r="BN15" s="92">
        <f t="shared" si="41"/>
        <v>781.235</v>
      </c>
      <c r="BO15" s="93">
        <f t="shared" si="42"/>
        <v>627.64</v>
      </c>
      <c r="BP15" s="87">
        <v>628</v>
      </c>
      <c r="BQ15" s="87">
        <f>CEILING(695.76,0.5)</f>
        <v>696</v>
      </c>
      <c r="BR15" s="92">
        <f t="shared" si="9"/>
        <v>828.5</v>
      </c>
      <c r="BS15" s="92">
        <v>874</v>
      </c>
      <c r="BT15" s="92">
        <f t="shared" si="43"/>
        <v>887.1099999999999</v>
      </c>
      <c r="BU15" s="92">
        <f t="shared" si="44"/>
        <v>836.785</v>
      </c>
      <c r="BV15" s="93">
        <f t="shared" si="45"/>
        <v>723.84</v>
      </c>
      <c r="BW15" s="87">
        <v>724</v>
      </c>
      <c r="BX15" s="87">
        <f>CEILING(812.76,0.5)</f>
        <v>813</v>
      </c>
      <c r="BY15" s="92">
        <f t="shared" si="10"/>
        <v>887.5</v>
      </c>
      <c r="BZ15" s="92">
        <v>939</v>
      </c>
      <c r="CA15" s="102">
        <f t="shared" si="46"/>
        <v>953.0849999999999</v>
      </c>
      <c r="CB15" s="102">
        <f t="shared" si="47"/>
        <v>896.375</v>
      </c>
      <c r="CC15" s="103">
        <f t="shared" si="48"/>
        <v>845.52</v>
      </c>
      <c r="CD15" s="87">
        <v>846</v>
      </c>
      <c r="CE15" s="62">
        <f>CEILING(870.48,0.5)</f>
        <v>870.5</v>
      </c>
      <c r="CF15" s="39">
        <f t="shared" si="11"/>
        <v>953.5</v>
      </c>
      <c r="CG15" s="40">
        <v>1013</v>
      </c>
      <c r="CH15" s="41">
        <f t="shared" si="49"/>
        <v>1028.195</v>
      </c>
      <c r="CI15" s="42">
        <f t="shared" si="50"/>
        <v>963.035</v>
      </c>
      <c r="CJ15" s="68">
        <f t="shared" si="51"/>
        <v>905.32</v>
      </c>
      <c r="CK15" s="86">
        <v>905.5</v>
      </c>
      <c r="CL15" s="54">
        <f>CEILING(932.36,0.5)</f>
        <v>932.5</v>
      </c>
      <c r="CM15" s="36">
        <f t="shared" si="12"/>
        <v>1028.5</v>
      </c>
      <c r="CN15" s="41">
        <f t="shared" si="52"/>
        <v>1038.785</v>
      </c>
      <c r="CO15" s="72">
        <f t="shared" si="53"/>
        <v>969.8000000000001</v>
      </c>
      <c r="CP15" s="86">
        <v>970</v>
      </c>
      <c r="CQ15" s="86">
        <f>CEILING(1002.04,0.5)</f>
        <v>1002.5</v>
      </c>
      <c r="CR15" s="85">
        <f t="shared" si="54"/>
        <v>1042.6000000000001</v>
      </c>
      <c r="CS15" s="86">
        <v>1043</v>
      </c>
      <c r="CT15" s="84">
        <v>1124.5</v>
      </c>
      <c r="CU15" s="72">
        <f t="shared" si="55"/>
        <v>1169.48</v>
      </c>
      <c r="CV15" s="116">
        <v>1124.5</v>
      </c>
    </row>
    <row r="16" spans="1:100" ht="27.75" customHeight="1" thickBot="1">
      <c r="A16" s="16">
        <v>9</v>
      </c>
      <c r="B16" s="17" t="s">
        <v>9</v>
      </c>
      <c r="C16" s="24">
        <v>279.5</v>
      </c>
      <c r="D16" s="29">
        <f t="shared" si="13"/>
        <v>283.6925</v>
      </c>
      <c r="E16" s="29">
        <f t="shared" si="14"/>
        <v>284</v>
      </c>
      <c r="F16" s="27">
        <v>291</v>
      </c>
      <c r="G16" s="25">
        <f t="shared" si="15"/>
        <v>295.36499999999995</v>
      </c>
      <c r="H16" s="25">
        <f t="shared" si="16"/>
        <v>286.84</v>
      </c>
      <c r="I16" s="25">
        <f t="shared" si="0"/>
        <v>295.5</v>
      </c>
      <c r="J16" s="27">
        <v>307.5</v>
      </c>
      <c r="K16" s="25">
        <f t="shared" si="17"/>
        <v>312.11249999999995</v>
      </c>
      <c r="L16" s="38">
        <f t="shared" si="18"/>
        <v>298.455</v>
      </c>
      <c r="M16" s="61">
        <f>CEILING(298.48,0.5)</f>
        <v>298.5</v>
      </c>
      <c r="N16" s="38">
        <f t="shared" si="1"/>
        <v>312.5</v>
      </c>
      <c r="O16" s="56">
        <v>399</v>
      </c>
      <c r="P16" s="38">
        <f t="shared" si="19"/>
        <v>404.98499999999996</v>
      </c>
      <c r="Q16" s="38">
        <f t="shared" si="20"/>
        <v>315.625</v>
      </c>
      <c r="R16" s="65">
        <f t="shared" si="21"/>
        <v>310.44</v>
      </c>
      <c r="S16" s="94">
        <v>310.5</v>
      </c>
      <c r="T16" s="94">
        <f>CEILING(310.44,0.5)</f>
        <v>310.5</v>
      </c>
      <c r="U16" s="97">
        <f t="shared" si="2"/>
        <v>405</v>
      </c>
      <c r="V16" s="97">
        <v>431</v>
      </c>
      <c r="W16" s="97">
        <f t="shared" si="22"/>
        <v>437.465</v>
      </c>
      <c r="X16" s="97">
        <f t="shared" si="23"/>
        <v>409.05</v>
      </c>
      <c r="Y16" s="94">
        <f t="shared" si="24"/>
        <v>322.92</v>
      </c>
      <c r="Z16" s="94">
        <v>323</v>
      </c>
      <c r="AA16" s="94">
        <f>CEILING(328.64,0.5)</f>
        <v>329</v>
      </c>
      <c r="AB16" s="97">
        <f t="shared" si="3"/>
        <v>437.5</v>
      </c>
      <c r="AC16" s="97">
        <v>466</v>
      </c>
      <c r="AD16" s="97">
        <f t="shared" si="25"/>
        <v>472.98999999999995</v>
      </c>
      <c r="AE16" s="97">
        <f t="shared" si="26"/>
        <v>441.875</v>
      </c>
      <c r="AF16" s="94">
        <f t="shared" si="27"/>
        <v>342.16</v>
      </c>
      <c r="AG16" s="94">
        <v>342.5</v>
      </c>
      <c r="AH16" s="94">
        <f>CEILING(425.88,0.5)</f>
        <v>426</v>
      </c>
      <c r="AI16" s="97">
        <f t="shared" si="4"/>
        <v>473</v>
      </c>
      <c r="AJ16" s="97">
        <v>505.5</v>
      </c>
      <c r="AK16" s="97">
        <f t="shared" si="28"/>
        <v>513.0825</v>
      </c>
      <c r="AL16" s="97">
        <f t="shared" si="29"/>
        <v>477.73</v>
      </c>
      <c r="AM16" s="98">
        <f t="shared" si="30"/>
        <v>443.04</v>
      </c>
      <c r="AN16" s="94">
        <v>443.5</v>
      </c>
      <c r="AO16" s="94">
        <f>CEILING(459.68,0.5)</f>
        <v>460</v>
      </c>
      <c r="AP16" s="97">
        <f t="shared" si="5"/>
        <v>513.5</v>
      </c>
      <c r="AQ16" s="97">
        <v>583.5</v>
      </c>
      <c r="AR16" s="97">
        <f t="shared" si="31"/>
        <v>592.2524999999999</v>
      </c>
      <c r="AS16" s="97">
        <f t="shared" si="32"/>
        <v>518.635</v>
      </c>
      <c r="AT16" s="98">
        <f t="shared" si="33"/>
        <v>478.40000000000003</v>
      </c>
      <c r="AU16" s="94">
        <v>478.5</v>
      </c>
      <c r="AV16" s="94">
        <f>CEILING(497.12,0.5)</f>
        <v>497.5</v>
      </c>
      <c r="AW16" s="97">
        <f t="shared" si="6"/>
        <v>592.5</v>
      </c>
      <c r="AX16" s="97">
        <v>672.5</v>
      </c>
      <c r="AY16" s="97">
        <f t="shared" si="34"/>
        <v>682.5875</v>
      </c>
      <c r="AZ16" s="97">
        <f t="shared" si="35"/>
        <v>598.425</v>
      </c>
      <c r="BA16" s="98">
        <f t="shared" si="36"/>
        <v>517.4</v>
      </c>
      <c r="BB16" s="94">
        <v>517.5</v>
      </c>
      <c r="BC16" s="94">
        <f>CEILING(539.76,0.5)</f>
        <v>540</v>
      </c>
      <c r="BD16" s="97">
        <f t="shared" si="7"/>
        <v>683</v>
      </c>
      <c r="BE16" s="97">
        <v>785.5</v>
      </c>
      <c r="BF16" s="97">
        <f t="shared" si="37"/>
        <v>797.2824999999999</v>
      </c>
      <c r="BG16" s="97">
        <f t="shared" si="38"/>
        <v>689.83</v>
      </c>
      <c r="BH16" s="98">
        <f t="shared" si="39"/>
        <v>561.6</v>
      </c>
      <c r="BI16" s="94">
        <v>562</v>
      </c>
      <c r="BJ16" s="94">
        <f>CEILING(622.44,0.5)</f>
        <v>622.5</v>
      </c>
      <c r="BK16" s="97">
        <f t="shared" si="8"/>
        <v>797.5</v>
      </c>
      <c r="BL16" s="97">
        <v>842</v>
      </c>
      <c r="BM16" s="97">
        <f t="shared" si="40"/>
        <v>854.6299999999999</v>
      </c>
      <c r="BN16" s="97">
        <f t="shared" si="41"/>
        <v>805.475</v>
      </c>
      <c r="BO16" s="98">
        <f t="shared" si="42"/>
        <v>647.4</v>
      </c>
      <c r="BP16" s="94">
        <v>647.5</v>
      </c>
      <c r="BQ16" s="94">
        <f>CEILING(717.6,0.5)</f>
        <v>718</v>
      </c>
      <c r="BR16" s="97">
        <f t="shared" si="9"/>
        <v>855</v>
      </c>
      <c r="BS16" s="97">
        <v>901.5</v>
      </c>
      <c r="BT16" s="97">
        <f t="shared" si="43"/>
        <v>915.0224999999999</v>
      </c>
      <c r="BU16" s="97">
        <f t="shared" si="44"/>
        <v>863.55</v>
      </c>
      <c r="BV16" s="98">
        <f t="shared" si="45"/>
        <v>746.72</v>
      </c>
      <c r="BW16" s="94">
        <v>747</v>
      </c>
      <c r="BX16" s="94">
        <f>CEILING(837.72,0.5)</f>
        <v>838</v>
      </c>
      <c r="BY16" s="97">
        <f t="shared" si="10"/>
        <v>915.5</v>
      </c>
      <c r="BZ16" s="97">
        <v>967.5</v>
      </c>
      <c r="CA16" s="104">
        <f t="shared" si="46"/>
        <v>982.0124999999999</v>
      </c>
      <c r="CB16" s="104">
        <f t="shared" si="47"/>
        <v>924.655</v>
      </c>
      <c r="CC16" s="105">
        <f t="shared" si="48"/>
        <v>871.52</v>
      </c>
      <c r="CD16" s="106">
        <v>872</v>
      </c>
      <c r="CE16" s="107">
        <f>CEILING(898.56,0.5)</f>
        <v>899</v>
      </c>
      <c r="CF16" s="58">
        <f t="shared" si="11"/>
        <v>982.5</v>
      </c>
      <c r="CG16" s="59">
        <v>1044.5</v>
      </c>
      <c r="CH16" s="60">
        <f t="shared" si="49"/>
        <v>1060.1674999999998</v>
      </c>
      <c r="CI16" s="43">
        <f t="shared" si="50"/>
        <v>992.325</v>
      </c>
      <c r="CJ16" s="108">
        <f t="shared" si="51"/>
        <v>934.96</v>
      </c>
      <c r="CK16" s="86">
        <v>935</v>
      </c>
      <c r="CL16" s="54">
        <f>CEILING(962,0.5)</f>
        <v>962</v>
      </c>
      <c r="CM16" s="36">
        <f t="shared" si="12"/>
        <v>1060.5</v>
      </c>
      <c r="CN16" s="41">
        <f t="shared" si="52"/>
        <v>1071.105</v>
      </c>
      <c r="CO16" s="69">
        <f t="shared" si="53"/>
        <v>1000.48</v>
      </c>
      <c r="CP16" s="86">
        <v>1000.5</v>
      </c>
      <c r="CQ16" s="74">
        <f>CEILING(1032.2,0.5)</f>
        <v>1032.5</v>
      </c>
      <c r="CR16" s="75">
        <f t="shared" si="54"/>
        <v>1073.8</v>
      </c>
      <c r="CS16" s="86">
        <v>1074</v>
      </c>
      <c r="CT16" s="84">
        <v>1159.5</v>
      </c>
      <c r="CU16" s="72">
        <f t="shared" si="55"/>
        <v>1205.88</v>
      </c>
      <c r="CV16" s="116">
        <v>1159.5</v>
      </c>
    </row>
    <row r="17" spans="1:100" ht="27.75" customHeight="1" thickBot="1">
      <c r="A17" s="16">
        <v>10</v>
      </c>
      <c r="B17" s="17" t="s">
        <v>10</v>
      </c>
      <c r="C17" s="24">
        <v>287</v>
      </c>
      <c r="D17" s="29">
        <f t="shared" si="13"/>
        <v>291.30499999999995</v>
      </c>
      <c r="E17" s="29">
        <f t="shared" si="14"/>
        <v>291.5</v>
      </c>
      <c r="F17" s="29">
        <v>299</v>
      </c>
      <c r="G17" s="25">
        <f t="shared" si="15"/>
        <v>303.48499999999996</v>
      </c>
      <c r="H17" s="25">
        <f t="shared" si="16"/>
        <v>294.415</v>
      </c>
      <c r="I17" s="25">
        <f t="shared" si="0"/>
        <v>303.5</v>
      </c>
      <c r="J17" s="25">
        <v>315.5</v>
      </c>
      <c r="K17" s="25">
        <f t="shared" si="17"/>
        <v>320.23249999999996</v>
      </c>
      <c r="L17" s="38">
        <f t="shared" si="18"/>
        <v>306.535</v>
      </c>
      <c r="M17" s="61">
        <f>CEILING(306.28,0.5)</f>
        <v>306.5</v>
      </c>
      <c r="N17" s="38">
        <f t="shared" si="1"/>
        <v>320.5</v>
      </c>
      <c r="O17" s="38">
        <v>409.5</v>
      </c>
      <c r="P17" s="38">
        <f t="shared" si="19"/>
        <v>415.6425</v>
      </c>
      <c r="Q17" s="38">
        <f t="shared" si="20"/>
        <v>323.705</v>
      </c>
      <c r="R17" s="65">
        <f t="shared" si="21"/>
        <v>318.76</v>
      </c>
      <c r="S17" s="87">
        <v>319</v>
      </c>
      <c r="T17" s="87">
        <f>CEILING(319.28,0.5)</f>
        <v>319.5</v>
      </c>
      <c r="U17" s="92">
        <f t="shared" si="2"/>
        <v>416</v>
      </c>
      <c r="V17" s="92">
        <v>443</v>
      </c>
      <c r="W17" s="92">
        <f t="shared" si="22"/>
        <v>449.645</v>
      </c>
      <c r="X17" s="92">
        <f t="shared" si="23"/>
        <v>420.16</v>
      </c>
      <c r="Y17" s="87">
        <f t="shared" si="24"/>
        <v>332.28000000000003</v>
      </c>
      <c r="Z17" s="87">
        <v>332.5</v>
      </c>
      <c r="AA17" s="87">
        <f>CEILING(336.96,0.5)</f>
        <v>337</v>
      </c>
      <c r="AB17" s="92">
        <f t="shared" si="3"/>
        <v>450</v>
      </c>
      <c r="AC17" s="92">
        <v>479.5</v>
      </c>
      <c r="AD17" s="92">
        <f t="shared" si="25"/>
        <v>486.69249999999994</v>
      </c>
      <c r="AE17" s="92">
        <f t="shared" si="26"/>
        <v>454.5</v>
      </c>
      <c r="AF17" s="87">
        <f t="shared" si="27"/>
        <v>350.48</v>
      </c>
      <c r="AG17" s="87">
        <v>350.5</v>
      </c>
      <c r="AH17" s="87">
        <f>CEILING(437.32,0.5)</f>
        <v>437.5</v>
      </c>
      <c r="AI17" s="92">
        <f t="shared" si="4"/>
        <v>487</v>
      </c>
      <c r="AJ17" s="92">
        <v>520.5</v>
      </c>
      <c r="AK17" s="92">
        <f t="shared" si="28"/>
        <v>528.3075</v>
      </c>
      <c r="AL17" s="92">
        <f t="shared" si="29"/>
        <v>491.87</v>
      </c>
      <c r="AM17" s="93">
        <f t="shared" si="30"/>
        <v>455</v>
      </c>
      <c r="AN17" s="87">
        <v>455</v>
      </c>
      <c r="AO17" s="87">
        <f>CEILING(472.68,0.5)</f>
        <v>473</v>
      </c>
      <c r="AP17" s="92">
        <f t="shared" si="5"/>
        <v>528.5</v>
      </c>
      <c r="AQ17" s="92">
        <v>601</v>
      </c>
      <c r="AR17" s="92">
        <f t="shared" si="31"/>
        <v>610.015</v>
      </c>
      <c r="AS17" s="92">
        <f t="shared" si="32"/>
        <v>533.785</v>
      </c>
      <c r="AT17" s="93">
        <f t="shared" si="33"/>
        <v>491.92</v>
      </c>
      <c r="AU17" s="87">
        <v>492</v>
      </c>
      <c r="AV17" s="87">
        <f>CEILING(511.68,0.5)</f>
        <v>512</v>
      </c>
      <c r="AW17" s="92">
        <f t="shared" si="6"/>
        <v>610.5</v>
      </c>
      <c r="AX17" s="92">
        <v>693</v>
      </c>
      <c r="AY17" s="92">
        <f t="shared" si="34"/>
        <v>703.395</v>
      </c>
      <c r="AZ17" s="92">
        <f t="shared" si="35"/>
        <v>616.605</v>
      </c>
      <c r="BA17" s="93">
        <f t="shared" si="36"/>
        <v>532.48</v>
      </c>
      <c r="BB17" s="87">
        <v>532.5</v>
      </c>
      <c r="BC17" s="87">
        <f>CEILING(555.36,0.5)</f>
        <v>555.5</v>
      </c>
      <c r="BD17" s="92">
        <f t="shared" si="7"/>
        <v>703.5</v>
      </c>
      <c r="BE17" s="92">
        <v>809.5</v>
      </c>
      <c r="BF17" s="92">
        <f t="shared" si="37"/>
        <v>821.6424999999999</v>
      </c>
      <c r="BG17" s="92">
        <f t="shared" si="38"/>
        <v>710.535</v>
      </c>
      <c r="BH17" s="93">
        <f t="shared" si="39"/>
        <v>577.72</v>
      </c>
      <c r="BI17" s="87">
        <v>578</v>
      </c>
      <c r="BJ17" s="87">
        <f>CEILING(641.68,0.5)</f>
        <v>642</v>
      </c>
      <c r="BK17" s="92">
        <f t="shared" si="8"/>
        <v>822</v>
      </c>
      <c r="BL17" s="92">
        <v>867</v>
      </c>
      <c r="BM17" s="92">
        <f t="shared" si="40"/>
        <v>880.0049999999999</v>
      </c>
      <c r="BN17" s="92">
        <f t="shared" si="41"/>
        <v>830.22</v>
      </c>
      <c r="BO17" s="93">
        <f t="shared" si="42"/>
        <v>667.6800000000001</v>
      </c>
      <c r="BP17" s="87">
        <v>668</v>
      </c>
      <c r="BQ17" s="87">
        <f>CEILING(739.44,0.5)</f>
        <v>739.5</v>
      </c>
      <c r="BR17" s="92">
        <f t="shared" si="9"/>
        <v>880.5</v>
      </c>
      <c r="BS17" s="92">
        <v>929.5</v>
      </c>
      <c r="BT17" s="92">
        <f t="shared" si="43"/>
        <v>943.4424999999999</v>
      </c>
      <c r="BU17" s="92">
        <f t="shared" si="44"/>
        <v>889.3050000000001</v>
      </c>
      <c r="BV17" s="93">
        <f t="shared" si="45"/>
        <v>769.08</v>
      </c>
      <c r="BW17" s="87">
        <v>769.5</v>
      </c>
      <c r="BX17" s="87">
        <f>CEILING(863.72,0.5)</f>
        <v>864</v>
      </c>
      <c r="BY17" s="92">
        <f t="shared" si="10"/>
        <v>943.5</v>
      </c>
      <c r="BZ17" s="92">
        <v>997.5</v>
      </c>
      <c r="CA17" s="102">
        <f t="shared" si="46"/>
        <v>1012.4624999999999</v>
      </c>
      <c r="CB17" s="102">
        <f t="shared" si="47"/>
        <v>952.9350000000001</v>
      </c>
      <c r="CC17" s="103">
        <f t="shared" si="48"/>
        <v>898.5600000000001</v>
      </c>
      <c r="CD17" s="109">
        <v>899</v>
      </c>
      <c r="CE17" s="109">
        <f>CEILING(925.08,0.5)</f>
        <v>925.5</v>
      </c>
      <c r="CF17" s="102">
        <f t="shared" si="11"/>
        <v>1012.5</v>
      </c>
      <c r="CG17" s="110">
        <v>1076</v>
      </c>
      <c r="CH17" s="111">
        <f t="shared" si="49"/>
        <v>1092.1399999999999</v>
      </c>
      <c r="CI17" s="112">
        <f t="shared" si="50"/>
        <v>1022.625</v>
      </c>
      <c r="CJ17" s="113">
        <f t="shared" si="51"/>
        <v>962.52</v>
      </c>
      <c r="CK17" s="86">
        <v>963</v>
      </c>
      <c r="CL17" s="54">
        <f>CEILING(991.12,0.5)</f>
        <v>991.5</v>
      </c>
      <c r="CM17" s="36">
        <f t="shared" si="12"/>
        <v>1092.5</v>
      </c>
      <c r="CN17" s="41">
        <f t="shared" si="52"/>
        <v>1103.425</v>
      </c>
      <c r="CO17" s="69">
        <f t="shared" si="53"/>
        <v>1031.16</v>
      </c>
      <c r="CP17" s="86">
        <v>1031.5</v>
      </c>
      <c r="CQ17" s="74">
        <f>CEILING(1063.92,0.5)</f>
        <v>1064</v>
      </c>
      <c r="CR17" s="85">
        <f t="shared" si="54"/>
        <v>1106.56</v>
      </c>
      <c r="CS17" s="86">
        <v>1107</v>
      </c>
      <c r="CT17" s="84">
        <v>1194</v>
      </c>
      <c r="CU17" s="72">
        <f t="shared" si="55"/>
        <v>1241.76</v>
      </c>
      <c r="CV17" s="116">
        <v>1194</v>
      </c>
    </row>
    <row r="18" spans="1:100" ht="27.75" customHeight="1" thickBot="1">
      <c r="A18" s="16">
        <v>11</v>
      </c>
      <c r="B18" s="17" t="s">
        <v>11</v>
      </c>
      <c r="C18" s="24">
        <v>293.5</v>
      </c>
      <c r="D18" s="29">
        <f t="shared" si="13"/>
        <v>297.9025</v>
      </c>
      <c r="E18" s="29">
        <f t="shared" si="14"/>
        <v>298</v>
      </c>
      <c r="F18" s="25">
        <v>307</v>
      </c>
      <c r="G18" s="25">
        <f t="shared" si="15"/>
        <v>311.60499999999996</v>
      </c>
      <c r="H18" s="25">
        <f t="shared" si="16"/>
        <v>300.98</v>
      </c>
      <c r="I18" s="25">
        <f t="shared" si="0"/>
        <v>312</v>
      </c>
      <c r="J18" s="25">
        <v>324</v>
      </c>
      <c r="K18" s="25">
        <f t="shared" si="17"/>
        <v>328.85999999999996</v>
      </c>
      <c r="L18" s="38">
        <f t="shared" si="18"/>
        <v>315.12</v>
      </c>
      <c r="M18" s="61">
        <f>CEILING(313.04,0.5)</f>
        <v>313.5</v>
      </c>
      <c r="N18" s="38">
        <f t="shared" si="1"/>
        <v>329</v>
      </c>
      <c r="O18" s="38">
        <v>421.5</v>
      </c>
      <c r="P18" s="38">
        <f t="shared" si="19"/>
        <v>427.82249999999993</v>
      </c>
      <c r="Q18" s="38">
        <f t="shared" si="20"/>
        <v>332.29</v>
      </c>
      <c r="R18" s="65">
        <f t="shared" si="21"/>
        <v>326.04</v>
      </c>
      <c r="S18" s="87">
        <v>326.5</v>
      </c>
      <c r="T18" s="87">
        <f>CEILING(328.12,0.5)</f>
        <v>328.5</v>
      </c>
      <c r="U18" s="92">
        <f t="shared" si="2"/>
        <v>428</v>
      </c>
      <c r="V18" s="92">
        <v>455.5</v>
      </c>
      <c r="W18" s="92">
        <f t="shared" si="22"/>
        <v>462.3325</v>
      </c>
      <c r="X18" s="92">
        <f t="shared" si="23"/>
        <v>432.28000000000003</v>
      </c>
      <c r="Y18" s="87">
        <f t="shared" si="24"/>
        <v>341.64</v>
      </c>
      <c r="Z18" s="87">
        <v>342</v>
      </c>
      <c r="AA18" s="87">
        <f>CEILING(345.8,0.5)</f>
        <v>346</v>
      </c>
      <c r="AB18" s="92">
        <f t="shared" si="3"/>
        <v>462.5</v>
      </c>
      <c r="AC18" s="92">
        <v>493</v>
      </c>
      <c r="AD18" s="92">
        <f t="shared" si="25"/>
        <v>500.3949999999999</v>
      </c>
      <c r="AE18" s="92">
        <f t="shared" si="26"/>
        <v>467.125</v>
      </c>
      <c r="AF18" s="87">
        <f t="shared" si="27"/>
        <v>359.84000000000003</v>
      </c>
      <c r="AG18" s="87">
        <v>360</v>
      </c>
      <c r="AH18" s="87">
        <f>CEILING(449.8,0.5)</f>
        <v>450</v>
      </c>
      <c r="AI18" s="92">
        <f t="shared" si="4"/>
        <v>500.5</v>
      </c>
      <c r="AJ18" s="92">
        <v>536</v>
      </c>
      <c r="AK18" s="92">
        <f t="shared" si="28"/>
        <v>544.04</v>
      </c>
      <c r="AL18" s="92">
        <f t="shared" si="29"/>
        <v>505.505</v>
      </c>
      <c r="AM18" s="93">
        <f t="shared" si="30"/>
        <v>468</v>
      </c>
      <c r="AN18" s="87">
        <v>468</v>
      </c>
      <c r="AO18" s="87">
        <f>CEILING(486.2,0.5)</f>
        <v>486.5</v>
      </c>
      <c r="AP18" s="92">
        <f t="shared" si="5"/>
        <v>544.5</v>
      </c>
      <c r="AQ18" s="92">
        <v>618</v>
      </c>
      <c r="AR18" s="92">
        <f t="shared" si="31"/>
        <v>627.27</v>
      </c>
      <c r="AS18" s="92">
        <f t="shared" si="32"/>
        <v>549.945</v>
      </c>
      <c r="AT18" s="93">
        <f t="shared" si="33"/>
        <v>505.96000000000004</v>
      </c>
      <c r="AU18" s="87">
        <v>506</v>
      </c>
      <c r="AV18" s="87">
        <f>CEILING(526.24,0.5)</f>
        <v>526.5</v>
      </c>
      <c r="AW18" s="92">
        <f t="shared" si="6"/>
        <v>627.5</v>
      </c>
      <c r="AX18" s="92">
        <v>713</v>
      </c>
      <c r="AY18" s="92">
        <f t="shared" si="34"/>
        <v>723.6949999999999</v>
      </c>
      <c r="AZ18" s="92">
        <f t="shared" si="35"/>
        <v>633.775</v>
      </c>
      <c r="BA18" s="93">
        <f t="shared" si="36"/>
        <v>547.5600000000001</v>
      </c>
      <c r="BB18" s="87">
        <v>548</v>
      </c>
      <c r="BC18" s="87">
        <f>CEILING(572,0.5)</f>
        <v>572</v>
      </c>
      <c r="BD18" s="92">
        <f t="shared" si="7"/>
        <v>724</v>
      </c>
      <c r="BE18" s="92">
        <v>832.5</v>
      </c>
      <c r="BF18" s="92">
        <f t="shared" si="37"/>
        <v>844.9875</v>
      </c>
      <c r="BG18" s="92">
        <f t="shared" si="38"/>
        <v>731.24</v>
      </c>
      <c r="BH18" s="93">
        <f t="shared" si="39"/>
        <v>594.88</v>
      </c>
      <c r="BI18" s="87">
        <v>595</v>
      </c>
      <c r="BJ18" s="87">
        <f>CEILING(659.36,0.5)</f>
        <v>659.5</v>
      </c>
      <c r="BK18" s="92">
        <f t="shared" si="8"/>
        <v>845</v>
      </c>
      <c r="BL18" s="92">
        <v>893</v>
      </c>
      <c r="BM18" s="92">
        <f t="shared" si="40"/>
        <v>906.3949999999999</v>
      </c>
      <c r="BN18" s="92">
        <f t="shared" si="41"/>
        <v>853.45</v>
      </c>
      <c r="BO18" s="93">
        <f t="shared" si="42"/>
        <v>685.88</v>
      </c>
      <c r="BP18" s="87">
        <v>686</v>
      </c>
      <c r="BQ18" s="87">
        <f>CEILING(760.76,0.5)</f>
        <v>761</v>
      </c>
      <c r="BR18" s="92">
        <f t="shared" si="9"/>
        <v>906.5</v>
      </c>
      <c r="BS18" s="92">
        <v>956</v>
      </c>
      <c r="BT18" s="92">
        <f t="shared" si="43"/>
        <v>970.3399999999999</v>
      </c>
      <c r="BU18" s="92">
        <f t="shared" si="44"/>
        <v>915.565</v>
      </c>
      <c r="BV18" s="93">
        <f t="shared" si="45"/>
        <v>791.44</v>
      </c>
      <c r="BW18" s="87">
        <v>791.5</v>
      </c>
      <c r="BX18" s="87">
        <f>CEILING(887.64,0.5)</f>
        <v>888</v>
      </c>
      <c r="BY18" s="92">
        <f t="shared" si="10"/>
        <v>970.5</v>
      </c>
      <c r="BZ18" s="92">
        <v>1027</v>
      </c>
      <c r="CA18" s="102">
        <f t="shared" si="46"/>
        <v>1042.405</v>
      </c>
      <c r="CB18" s="102">
        <f t="shared" si="47"/>
        <v>980.205</v>
      </c>
      <c r="CC18" s="103">
        <f t="shared" si="48"/>
        <v>923.52</v>
      </c>
      <c r="CD18" s="109">
        <v>924</v>
      </c>
      <c r="CE18" s="109">
        <f>CEILING(952.64,0.5)</f>
        <v>953</v>
      </c>
      <c r="CF18" s="102">
        <f t="shared" si="11"/>
        <v>1042.5</v>
      </c>
      <c r="CG18" s="110">
        <v>1108</v>
      </c>
      <c r="CH18" s="111">
        <f t="shared" si="49"/>
        <v>1124.62</v>
      </c>
      <c r="CI18" s="112">
        <f t="shared" si="50"/>
        <v>1052.925</v>
      </c>
      <c r="CJ18" s="113">
        <f t="shared" si="51"/>
        <v>991.12</v>
      </c>
      <c r="CK18" s="74">
        <v>991.5</v>
      </c>
      <c r="CL18" s="54">
        <f>CEILING(1019.72,0.5)</f>
        <v>1020</v>
      </c>
      <c r="CM18" s="36">
        <f t="shared" si="12"/>
        <v>1125</v>
      </c>
      <c r="CN18" s="41">
        <f t="shared" si="52"/>
        <v>1136.25</v>
      </c>
      <c r="CO18" s="72">
        <f t="shared" si="53"/>
        <v>1060.8</v>
      </c>
      <c r="CP18" s="86">
        <v>1061</v>
      </c>
      <c r="CQ18" s="86">
        <f>CEILING(1095.12,0.5)</f>
        <v>1095.5</v>
      </c>
      <c r="CR18" s="85">
        <f t="shared" si="54"/>
        <v>1139.32</v>
      </c>
      <c r="CS18" s="86">
        <v>1139.5</v>
      </c>
      <c r="CT18" s="84">
        <v>1229.5</v>
      </c>
      <c r="CU18" s="72">
        <f t="shared" si="55"/>
        <v>1278.68</v>
      </c>
      <c r="CV18" s="116">
        <v>1229.5</v>
      </c>
    </row>
    <row r="19" spans="1:100" ht="27.75" customHeight="1" thickBot="1">
      <c r="A19" s="18">
        <v>12</v>
      </c>
      <c r="B19" s="19" t="s">
        <v>12</v>
      </c>
      <c r="C19" s="26">
        <v>300.5</v>
      </c>
      <c r="D19" s="29">
        <f t="shared" si="13"/>
        <v>305.0075</v>
      </c>
      <c r="E19" s="29">
        <f t="shared" si="14"/>
        <v>305.5</v>
      </c>
      <c r="F19" s="28">
        <v>314.5</v>
      </c>
      <c r="G19" s="25">
        <f t="shared" si="15"/>
        <v>319.2175</v>
      </c>
      <c r="H19" s="25">
        <f t="shared" si="16"/>
        <v>308.555</v>
      </c>
      <c r="I19" s="25">
        <f t="shared" si="0"/>
        <v>319.5</v>
      </c>
      <c r="J19" s="28">
        <v>332</v>
      </c>
      <c r="K19" s="25">
        <f t="shared" si="17"/>
        <v>336.97999999999996</v>
      </c>
      <c r="L19" s="38">
        <f t="shared" si="18"/>
        <v>322.695</v>
      </c>
      <c r="M19" s="61">
        <f>CEILING(321.36,0.5)</f>
        <v>321.5</v>
      </c>
      <c r="N19" s="38">
        <f t="shared" si="1"/>
        <v>337</v>
      </c>
      <c r="O19" s="57">
        <v>432.5</v>
      </c>
      <c r="P19" s="38">
        <f t="shared" si="19"/>
        <v>438.98749999999995</v>
      </c>
      <c r="Q19" s="38">
        <f t="shared" si="20"/>
        <v>340.37</v>
      </c>
      <c r="R19" s="65">
        <f t="shared" si="21"/>
        <v>334.36</v>
      </c>
      <c r="S19" s="76">
        <v>334.5</v>
      </c>
      <c r="T19" s="76">
        <f>CEILING(335.92,0.5)</f>
        <v>336</v>
      </c>
      <c r="U19" s="57">
        <f t="shared" si="2"/>
        <v>439</v>
      </c>
      <c r="V19" s="57">
        <v>467.5</v>
      </c>
      <c r="W19" s="57">
        <f t="shared" si="22"/>
        <v>474.51249999999993</v>
      </c>
      <c r="X19" s="57">
        <f t="shared" si="23"/>
        <v>443.39</v>
      </c>
      <c r="Y19" s="76">
        <f t="shared" si="24"/>
        <v>349.44</v>
      </c>
      <c r="Z19" s="76">
        <v>349.5</v>
      </c>
      <c r="AA19" s="76">
        <f>CEILING(354.12,0.5)</f>
        <v>354.5</v>
      </c>
      <c r="AB19" s="57">
        <f t="shared" si="3"/>
        <v>475</v>
      </c>
      <c r="AC19" s="57">
        <v>507</v>
      </c>
      <c r="AD19" s="57">
        <f t="shared" si="25"/>
        <v>514.6049999999999</v>
      </c>
      <c r="AE19" s="57">
        <f t="shared" si="26"/>
        <v>479.75</v>
      </c>
      <c r="AF19" s="76">
        <f t="shared" si="27"/>
        <v>368.68</v>
      </c>
      <c r="AG19" s="76">
        <v>369</v>
      </c>
      <c r="AH19" s="76">
        <f>CEILING(461.24,0.5)</f>
        <v>461.5</v>
      </c>
      <c r="AI19" s="57">
        <f t="shared" si="4"/>
        <v>515</v>
      </c>
      <c r="AJ19" s="57">
        <v>550.5</v>
      </c>
      <c r="AK19" s="57">
        <f t="shared" si="28"/>
        <v>558.7574999999999</v>
      </c>
      <c r="AL19" s="57">
        <f t="shared" si="29"/>
        <v>520.15</v>
      </c>
      <c r="AM19" s="91">
        <f t="shared" si="30"/>
        <v>479.96000000000004</v>
      </c>
      <c r="AN19" s="76">
        <v>480</v>
      </c>
      <c r="AO19" s="76">
        <f>CEILING(499.2,0.5)</f>
        <v>499.5</v>
      </c>
      <c r="AP19" s="57">
        <f t="shared" si="5"/>
        <v>559</v>
      </c>
      <c r="AQ19" s="57">
        <v>636</v>
      </c>
      <c r="AR19" s="57">
        <f t="shared" si="31"/>
        <v>645.54</v>
      </c>
      <c r="AS19" s="57">
        <f t="shared" si="32"/>
        <v>564.59</v>
      </c>
      <c r="AT19" s="91">
        <f t="shared" si="33"/>
        <v>519.48</v>
      </c>
      <c r="AU19" s="76">
        <v>519.5</v>
      </c>
      <c r="AV19" s="76">
        <f>CEILING(541.32,0.5)</f>
        <v>541.5</v>
      </c>
      <c r="AW19" s="57">
        <f t="shared" si="6"/>
        <v>646</v>
      </c>
      <c r="AX19" s="57">
        <v>733.5</v>
      </c>
      <c r="AY19" s="57">
        <f t="shared" si="34"/>
        <v>744.5024999999999</v>
      </c>
      <c r="AZ19" s="57">
        <f t="shared" si="35"/>
        <v>652.46</v>
      </c>
      <c r="BA19" s="91">
        <f t="shared" si="36"/>
        <v>563.16</v>
      </c>
      <c r="BB19" s="76">
        <v>563.5</v>
      </c>
      <c r="BC19" s="76">
        <f>CEILING(587.6,0.5)</f>
        <v>588</v>
      </c>
      <c r="BD19" s="57">
        <f t="shared" si="7"/>
        <v>745</v>
      </c>
      <c r="BE19" s="57">
        <v>857</v>
      </c>
      <c r="BF19" s="57">
        <f t="shared" si="37"/>
        <v>869.8549999999999</v>
      </c>
      <c r="BG19" s="57">
        <f t="shared" si="38"/>
        <v>752.45</v>
      </c>
      <c r="BH19" s="91">
        <f t="shared" si="39"/>
        <v>611.52</v>
      </c>
      <c r="BI19" s="76">
        <v>612</v>
      </c>
      <c r="BJ19" s="76">
        <f>CEILING(678.6,0.5)</f>
        <v>679</v>
      </c>
      <c r="BK19" s="57">
        <f t="shared" si="8"/>
        <v>870</v>
      </c>
      <c r="BL19" s="57">
        <v>917.5</v>
      </c>
      <c r="BM19" s="57">
        <f t="shared" si="40"/>
        <v>931.2624999999999</v>
      </c>
      <c r="BN19" s="57">
        <f t="shared" si="41"/>
        <v>878.7</v>
      </c>
      <c r="BO19" s="91">
        <f t="shared" si="42"/>
        <v>706.16</v>
      </c>
      <c r="BP19" s="76">
        <v>706.5</v>
      </c>
      <c r="BQ19" s="76">
        <f>CEILING(782.6,0.5)</f>
        <v>783</v>
      </c>
      <c r="BR19" s="57">
        <f t="shared" si="9"/>
        <v>931.5</v>
      </c>
      <c r="BS19" s="57">
        <v>984</v>
      </c>
      <c r="BT19" s="57">
        <f t="shared" si="43"/>
        <v>998.7599999999999</v>
      </c>
      <c r="BU19" s="57">
        <f t="shared" si="44"/>
        <v>940.815</v>
      </c>
      <c r="BV19" s="91">
        <f t="shared" si="45"/>
        <v>814.32</v>
      </c>
      <c r="BW19" s="76">
        <v>814.5</v>
      </c>
      <c r="BX19" s="76">
        <f>CEILING(914.16,0.5)</f>
        <v>914.5</v>
      </c>
      <c r="BY19" s="57">
        <f t="shared" si="10"/>
        <v>999</v>
      </c>
      <c r="BZ19" s="57">
        <v>1055.5</v>
      </c>
      <c r="CA19" s="99">
        <f t="shared" si="46"/>
        <v>1071.3325</v>
      </c>
      <c r="CB19" s="99">
        <f t="shared" si="47"/>
        <v>1008.99</v>
      </c>
      <c r="CC19" s="100">
        <f t="shared" si="48"/>
        <v>951.08</v>
      </c>
      <c r="CD19" s="78">
        <v>951.5</v>
      </c>
      <c r="CE19" s="78">
        <f>CEILING(978.64,0.5)</f>
        <v>979</v>
      </c>
      <c r="CF19" s="104">
        <f t="shared" si="11"/>
        <v>1071.5</v>
      </c>
      <c r="CG19" s="59">
        <v>1139.5</v>
      </c>
      <c r="CH19" s="60">
        <f t="shared" si="49"/>
        <v>1156.5925</v>
      </c>
      <c r="CI19" s="43">
        <f t="shared" si="50"/>
        <v>1082.215</v>
      </c>
      <c r="CJ19" s="68">
        <f t="shared" si="51"/>
        <v>1018.1600000000001</v>
      </c>
      <c r="CK19" s="114">
        <v>1018.5</v>
      </c>
      <c r="CL19" s="54">
        <f>CEILING(1049.36,0.5)</f>
        <v>1049.5</v>
      </c>
      <c r="CM19" s="44">
        <f t="shared" si="12"/>
        <v>1157</v>
      </c>
      <c r="CN19" s="60">
        <f t="shared" si="52"/>
        <v>1168.57</v>
      </c>
      <c r="CO19" s="69">
        <f t="shared" si="53"/>
        <v>1091.48</v>
      </c>
      <c r="CP19" s="114">
        <v>1091.5</v>
      </c>
      <c r="CQ19" s="80">
        <f>CEILING(1125.8,0.5)</f>
        <v>1126</v>
      </c>
      <c r="CR19" s="81">
        <f t="shared" si="54"/>
        <v>1171.04</v>
      </c>
      <c r="CS19" s="80">
        <v>1171.5</v>
      </c>
      <c r="CT19" s="117">
        <v>1265</v>
      </c>
      <c r="CU19" s="72">
        <f t="shared" si="55"/>
        <v>1315.6000000000001</v>
      </c>
      <c r="CV19" s="116">
        <v>1265</v>
      </c>
    </row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</sheetData>
  <sheetProtection/>
  <mergeCells count="2">
    <mergeCell ref="S6:CT6"/>
    <mergeCell ref="S5:CT5"/>
  </mergeCells>
  <printOptions horizontalCentered="1"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Szalayová Dana</cp:lastModifiedBy>
  <cp:lastPrinted>2016-12-05T06:56:56Z</cp:lastPrinted>
  <dcterms:created xsi:type="dcterms:W3CDTF">2009-10-06T09:28:07Z</dcterms:created>
  <dcterms:modified xsi:type="dcterms:W3CDTF">2016-12-09T10:40:42Z</dcterms:modified>
  <cp:category/>
  <cp:version/>
  <cp:contentType/>
  <cp:contentStatus/>
</cp:coreProperties>
</file>