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60" windowWidth="12120" windowHeight="9045" activeTab="0"/>
  </bookViews>
  <sheets>
    <sheet name="Plán.obd.2007-2013" sheetId="1" r:id="rId1"/>
  </sheets>
  <definedNames>
    <definedName name="Z_24DFD919_5530_4448_9F49_7A6B7EFECF41_.wvu.Cols" localSheetId="0" hidden="1">'Plán.obd.2007-2013'!$J:$J</definedName>
    <definedName name="Z_24DFD919_5530_4448_9F49_7A6B7EFECF41_.wvu.Rows" localSheetId="0" hidden="1">'Plán.obd.2007-2013'!$5:$7,'Plán.obd.2007-2013'!$72:$74,'Plán.obd.2007-2013'!$81:$84</definedName>
    <definedName name="Z_642DB467_3D2A_4D0C_949B_8D25BF51E791_.wvu.Cols" localSheetId="0" hidden="1">'Plán.obd.2007-2013'!$J:$J</definedName>
    <definedName name="Z_642DB467_3D2A_4D0C_949B_8D25BF51E791_.wvu.Rows" localSheetId="0" hidden="1">'Plán.obd.2007-2013'!$5:$7,'Plán.obd.2007-2013'!$72:$74,'Plán.obd.2007-2013'!$81:$84</definedName>
    <definedName name="Z_7DD26B95_250E_4084_9253_85E89DC692E7_.wvu.Cols" localSheetId="0" hidden="1">'Plán.obd.2007-2013'!$J:$J</definedName>
    <definedName name="Z_7DD26B95_250E_4084_9253_85E89DC692E7_.wvu.Rows" localSheetId="0" hidden="1">'Plán.obd.2007-2013'!$5:$7,'Plán.obd.2007-2013'!$72:$74,'Plán.obd.2007-2013'!$81:$84</definedName>
    <definedName name="Z_931A5570_4E21_4F23_B67D_B6B5BED154F9_.wvu.Cols" localSheetId="0" hidden="1">'Plán.obd.2007-2013'!$J:$J</definedName>
    <definedName name="Z_931A5570_4E21_4F23_B67D_B6B5BED154F9_.wvu.Rows" localSheetId="0" hidden="1">'Plán.obd.2007-2013'!$5:$7,'Plán.obd.2007-2013'!$72:$74,'Plán.obd.2007-2013'!$81:$84</definedName>
    <definedName name="Z_C3074094_A5AF_416E_A21A_876E5C707AAE_.wvu.Cols" localSheetId="0" hidden="1">'Plán.obd.2007-2013'!$J:$J</definedName>
    <definedName name="Z_C3074094_A5AF_416E_A21A_876E5C707AAE_.wvu.Rows" localSheetId="0" hidden="1">'Plán.obd.2007-2013'!$5:$7,'Plán.obd.2007-2013'!$72:$74,'Plán.obd.2007-2013'!$81:$84</definedName>
  </definedNames>
  <calcPr fullCalcOnLoad="1"/>
</workbook>
</file>

<file path=xl/comments1.xml><?xml version="1.0" encoding="utf-8"?>
<comments xmlns="http://schemas.openxmlformats.org/spreadsheetml/2006/main">
  <authors>
    <author>Jassova.Adriana</author>
  </authors>
  <commentList>
    <comment ref="C2" authorId="0">
      <text>
        <r>
          <rPr>
            <sz val="10"/>
            <rFont val="Arial CE"/>
            <family val="0"/>
          </rPr>
          <t>Jassova.Adriana:</t>
        </r>
        <r>
          <rPr>
            <sz val="10"/>
            <rFont val="Arial CE"/>
            <family val="0"/>
          </rPr>
          <t xml:space="preserve">
celkové oprávnené náklady schválené na projekt</t>
        </r>
      </text>
    </comment>
    <comment ref="D2" authorId="0">
      <text>
        <r>
          <rPr>
            <sz val="10"/>
            <rFont val="Arial CE"/>
            <family val="0"/>
          </rPr>
          <t>Jassova.Adriana:</t>
        </r>
        <r>
          <rPr>
            <sz val="10"/>
            <rFont val="Arial CE"/>
            <family val="0"/>
          </rPr>
          <t xml:space="preserve">
Pôvodne uzatovorený kontrakt</t>
        </r>
      </text>
    </comment>
    <comment ref="E2" authorId="0">
      <text>
        <r>
          <rPr>
            <sz val="10"/>
            <rFont val="Arial CE"/>
            <family val="0"/>
          </rPr>
          <t>Jassova.Adriana:</t>
        </r>
        <r>
          <rPr>
            <sz val="10"/>
            <rFont val="Arial CE"/>
            <family val="0"/>
          </rPr>
          <t xml:space="preserve">
Dodatky +Zmenové listy</t>
        </r>
      </text>
    </comment>
  </commentList>
</comments>
</file>

<file path=xl/sharedStrings.xml><?xml version="1.0" encoding="utf-8"?>
<sst xmlns="http://schemas.openxmlformats.org/spreadsheetml/2006/main" count="152" uniqueCount="97">
  <si>
    <t>Projekt</t>
  </si>
  <si>
    <t>Kontraho-vanie</t>
  </si>
  <si>
    <t>Kontrahované + príp. Dodatky k uzatvoreným zmluvám</t>
  </si>
  <si>
    <t>Začiatok
realizácie</t>
  </si>
  <si>
    <t>Koniec
realizácie</t>
  </si>
  <si>
    <t xml:space="preserve">Momentálny stav projektu </t>
  </si>
  <si>
    <t>03/06</t>
  </si>
  <si>
    <t>KF (74%)</t>
  </si>
  <si>
    <t>ŠR (26%)</t>
  </si>
  <si>
    <t>ŠR (25%)</t>
  </si>
  <si>
    <t>ŽSR, Modernizácia trate Bratislava Rača – Trnava (úsek Šenkvice – Cífer a stanice Rača – Trnava)</t>
  </si>
  <si>
    <t>06/04</t>
  </si>
  <si>
    <t>ISPA (50%)</t>
  </si>
  <si>
    <t>ŠR (50%)</t>
  </si>
  <si>
    <t>ISPA</t>
  </si>
  <si>
    <t>limit MDPT</t>
  </si>
  <si>
    <t>Spolu ISPA</t>
  </si>
  <si>
    <t>Spolu ŠR spolufin.</t>
  </si>
  <si>
    <t>Spolu úver (iné zdroje)</t>
  </si>
  <si>
    <t>spolu KF</t>
  </si>
  <si>
    <t>Spolu ŠF spolufin</t>
  </si>
  <si>
    <t>spolu úver (iné zdroje)</t>
  </si>
  <si>
    <t>Spolu ERDF</t>
  </si>
  <si>
    <t>Ukončený</t>
  </si>
  <si>
    <t>Príloha č. 1</t>
  </si>
  <si>
    <t>Alokácia tis.EUR</t>
  </si>
  <si>
    <t>ŽSR, Modernizácia železničnej trate Žilina - Krásno nad Kysucou</t>
  </si>
  <si>
    <t>KF (54,065%)</t>
  </si>
  <si>
    <t>ŠR (9,541%)</t>
  </si>
  <si>
    <t>MSF(36,394%)</t>
  </si>
  <si>
    <t>KF (85%)</t>
  </si>
  <si>
    <t>ŠR (15%)</t>
  </si>
  <si>
    <t>TIP Žilina, projektová príprava - DÚR, EIA</t>
  </si>
  <si>
    <t>TEŠ koľaj. trať v MČ Bratislava Petržalka</t>
  </si>
  <si>
    <t>TEŠ IDS na území Bratislavy s dosahom na regióny</t>
  </si>
  <si>
    <t>Štúdia IDS Košice</t>
  </si>
  <si>
    <t>V realizácii</t>
  </si>
  <si>
    <t xml:space="preserve">úver </t>
  </si>
  <si>
    <t>Odborná pomoc pre prípravu dopravných projektov na Slovensku</t>
  </si>
  <si>
    <t>KF 2007-2013</t>
  </si>
  <si>
    <t>KF 2004-2006</t>
  </si>
  <si>
    <t>ŽSR, Modernizácia trate Trnava - Nové Mesto/V (úsek Piešťany - Nové Mesto nad Váhom)</t>
  </si>
  <si>
    <t>úver</t>
  </si>
  <si>
    <t>01/09</t>
  </si>
  <si>
    <t>02/09</t>
  </si>
  <si>
    <t>05/10</t>
  </si>
  <si>
    <t>06/09</t>
  </si>
  <si>
    <t>07/09</t>
  </si>
  <si>
    <t>01/10</t>
  </si>
  <si>
    <t xml:space="preserve">TIP Žilina, projektová príprava </t>
  </si>
  <si>
    <t>ISPA (75%)</t>
  </si>
  <si>
    <t>Projektová dokumentácia, úsek Liptovský Mikuláš - Košice (úsek Liptovský Mikuláš - Poprad Tatry) DÚR, DSP, DRS, DVZ, IČ</t>
  </si>
  <si>
    <t>8/08</t>
  </si>
  <si>
    <t>06/11</t>
  </si>
  <si>
    <t>11/03</t>
  </si>
  <si>
    <t>12/10</t>
  </si>
  <si>
    <t>ŠR (15%) / ŠR (25%)</t>
  </si>
  <si>
    <t>KF (85%) / ERDF (75%)</t>
  </si>
  <si>
    <t>Projektová dokumentácia, úsek Liptovský Mikuláš - Košice (úsek Poprad Tatry - Krompachy) DUR, DSP, DRS, DVZ, IČ</t>
  </si>
  <si>
    <t>Projektová dokumentácia, úsek Liptovský Mikuláš - Košice (úsek Krompachy - Kysak) DUR, DSP, DRS, DVZ, IČ</t>
  </si>
  <si>
    <t>Projektová dokumentácia, úsek Liptovský Mikuláš - Košice (úsek Kysak - Košice) DUR, DSP, DRS, DVZ, IČ</t>
  </si>
  <si>
    <t>07/06</t>
  </si>
  <si>
    <t>Štátna dotácia</t>
  </si>
  <si>
    <t>v tis. EUR</t>
  </si>
  <si>
    <t>12/14</t>
  </si>
  <si>
    <t>06/15</t>
  </si>
  <si>
    <t>03/09</t>
  </si>
  <si>
    <t>Modernizácia žel. trate Nové Mesto nad Váhom - Púchov, úsek Nové Mesto nad Váhom - Zlatovce</t>
  </si>
  <si>
    <t xml:space="preserve">KF (70,968%) </t>
  </si>
  <si>
    <t xml:space="preserve">ŠR (12,523%) </t>
  </si>
  <si>
    <t>MSF(16,509%)</t>
  </si>
  <si>
    <t xml:space="preserve">Modernizácia žel. trate Nové Mesto nad Váhom - Púchov, úsek Trenčianska Teplá - Ilava - Beluša </t>
  </si>
  <si>
    <t xml:space="preserve">KF (71,274%) </t>
  </si>
  <si>
    <t xml:space="preserve">ŠR (12,578%) </t>
  </si>
  <si>
    <t>MSF(16,148%)</t>
  </si>
  <si>
    <t>Žilina - Teplička, zriaďovacia stanica</t>
  </si>
  <si>
    <t>Štátna dotácia*</t>
  </si>
  <si>
    <t>pre všetky etapy</t>
  </si>
  <si>
    <t xml:space="preserve">KF (69,441%) </t>
  </si>
  <si>
    <t xml:space="preserve">ŠR (12,254%) </t>
  </si>
  <si>
    <t>MSF(18,305%)</t>
  </si>
  <si>
    <t>TIP Bratislava, projektová príprava - DÚR, EIA</t>
  </si>
  <si>
    <t>TIP Leopoldov, projektová príprava - DÚR, EIA</t>
  </si>
  <si>
    <t>TIP Košice, projektová príprava - DÚR, EIA</t>
  </si>
  <si>
    <t>Predfinancovanie záv. 20%</t>
  </si>
  <si>
    <t xml:space="preserve">Úroky </t>
  </si>
  <si>
    <t>11/09</t>
  </si>
  <si>
    <t>09/09</t>
  </si>
  <si>
    <t>05/13</t>
  </si>
  <si>
    <t>11/13</t>
  </si>
  <si>
    <t>10/11</t>
  </si>
  <si>
    <t>06/10</t>
  </si>
  <si>
    <t>03/11</t>
  </si>
  <si>
    <t>štátna dotácia</t>
  </si>
  <si>
    <t xml:space="preserve">Kumulatívne čerpanie k 31.12.2010 </t>
  </si>
  <si>
    <t>Čerpanie za rok 2010</t>
  </si>
  <si>
    <t>Projekty spolufinancované z fondov EU v roku 2010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</si>
</sst>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38"/>
      <name val="Arial"/>
      <family val="2"/>
    </font>
    <font>
      <i/>
      <sz val="8"/>
      <name val="Arial"/>
      <family val="2"/>
    </font>
    <font>
      <b/>
      <i/>
      <sz val="8"/>
      <name val="Arial CE"/>
      <family val="0"/>
    </font>
    <font>
      <b/>
      <sz val="12"/>
      <color indexed="10"/>
      <name val="Arial CE"/>
      <family val="0"/>
    </font>
    <font>
      <sz val="9"/>
      <name val="Arial CE"/>
      <family val="0"/>
    </font>
    <font>
      <b/>
      <sz val="8"/>
      <color indexed="38"/>
      <name val="Arial"/>
      <family val="2"/>
    </font>
    <font>
      <b/>
      <sz val="10"/>
      <name val="Arial CE"/>
      <family val="0"/>
    </font>
    <font>
      <b/>
      <sz val="8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Alignment="1">
      <alignment/>
    </xf>
    <xf numFmtId="0" fontId="9" fillId="0" borderId="11" xfId="45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49" fontId="5" fillId="0" borderId="12" xfId="45" applyNumberFormat="1" applyFont="1" applyFill="1" applyBorder="1" applyAlignment="1">
      <alignment horizontal="center" vertical="center"/>
      <protection/>
    </xf>
    <xf numFmtId="49" fontId="5" fillId="0" borderId="13" xfId="45" applyNumberFormat="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/>
    </xf>
    <xf numFmtId="4" fontId="6" fillId="33" borderId="13" xfId="45" applyNumberFormat="1" applyFont="1" applyFill="1" applyBorder="1">
      <alignment/>
      <protection/>
    </xf>
    <xf numFmtId="4" fontId="9" fillId="33" borderId="12" xfId="45" applyNumberFormat="1" applyFont="1" applyFill="1" applyBorder="1">
      <alignment/>
      <protection/>
    </xf>
    <xf numFmtId="4" fontId="9" fillId="33" borderId="13" xfId="45" applyNumberFormat="1" applyFont="1" applyFill="1" applyBorder="1">
      <alignment/>
      <protection/>
    </xf>
    <xf numFmtId="4" fontId="5" fillId="33" borderId="12" xfId="45" applyNumberFormat="1" applyFont="1" applyFill="1" applyBorder="1">
      <alignment/>
      <protection/>
    </xf>
    <xf numFmtId="4" fontId="6" fillId="33" borderId="12" xfId="45" applyNumberFormat="1" applyFont="1" applyFill="1" applyBorder="1">
      <alignment/>
      <protection/>
    </xf>
    <xf numFmtId="0" fontId="9" fillId="0" borderId="14" xfId="45" applyFont="1" applyFill="1" applyBorder="1" applyAlignment="1">
      <alignment horizontal="left" vertical="center" wrapText="1"/>
      <protection/>
    </xf>
    <xf numFmtId="4" fontId="10" fillId="0" borderId="13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" fontId="9" fillId="33" borderId="15" xfId="45" applyNumberFormat="1" applyFont="1" applyFill="1" applyBorder="1">
      <alignment/>
      <protection/>
    </xf>
    <xf numFmtId="4" fontId="9" fillId="33" borderId="16" xfId="45" applyNumberFormat="1" applyFont="1" applyFill="1" applyBorder="1">
      <alignment/>
      <protection/>
    </xf>
    <xf numFmtId="4" fontId="10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" fontId="9" fillId="33" borderId="14" xfId="45" applyNumberFormat="1" applyFont="1" applyFill="1" applyBorder="1">
      <alignment/>
      <protection/>
    </xf>
    <xf numFmtId="4" fontId="3" fillId="0" borderId="0" xfId="0" applyNumberFormat="1" applyFont="1" applyFill="1" applyAlignment="1">
      <alignment/>
    </xf>
    <xf numFmtId="3" fontId="9" fillId="0" borderId="13" xfId="45" applyNumberFormat="1" applyFont="1" applyFill="1" applyBorder="1">
      <alignment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3" fontId="9" fillId="0" borderId="17" xfId="45" applyNumberFormat="1" applyFont="1" applyFill="1" applyBorder="1">
      <alignment/>
      <protection/>
    </xf>
    <xf numFmtId="3" fontId="9" fillId="0" borderId="12" xfId="45" applyNumberFormat="1" applyFont="1" applyFill="1" applyBorder="1">
      <alignment/>
      <protection/>
    </xf>
    <xf numFmtId="3" fontId="9" fillId="0" borderId="18" xfId="45" applyNumberFormat="1" applyFont="1" applyFill="1" applyBorder="1">
      <alignment/>
      <protection/>
    </xf>
    <xf numFmtId="3" fontId="9" fillId="0" borderId="19" xfId="45" applyNumberFormat="1" applyFont="1" applyFill="1" applyBorder="1">
      <alignment/>
      <protection/>
    </xf>
    <xf numFmtId="3" fontId="9" fillId="0" borderId="20" xfId="45" applyNumberFormat="1" applyFont="1" applyFill="1" applyBorder="1">
      <alignment/>
      <protection/>
    </xf>
    <xf numFmtId="1" fontId="9" fillId="0" borderId="17" xfId="45" applyNumberFormat="1" applyFont="1" applyFill="1" applyBorder="1" applyAlignment="1">
      <alignment horizontal="right"/>
      <protection/>
    </xf>
    <xf numFmtId="1" fontId="9" fillId="0" borderId="12" xfId="45" applyNumberFormat="1" applyFont="1" applyFill="1" applyBorder="1" applyAlignment="1">
      <alignment horizontal="right"/>
      <protection/>
    </xf>
    <xf numFmtId="49" fontId="8" fillId="0" borderId="15" xfId="45" applyNumberFormat="1" applyFont="1" applyFill="1" applyBorder="1" applyAlignment="1">
      <alignment horizontal="center" vertical="center"/>
      <protection/>
    </xf>
    <xf numFmtId="49" fontId="8" fillId="0" borderId="16" xfId="45" applyNumberFormat="1" applyFont="1" applyFill="1" applyBorder="1" applyAlignment="1">
      <alignment horizontal="center" vertical="center"/>
      <protection/>
    </xf>
    <xf numFmtId="49" fontId="8" fillId="0" borderId="15" xfId="45" applyNumberFormat="1" applyFont="1" applyFill="1" applyBorder="1" applyAlignment="1">
      <alignment horizontal="center" vertical="center" wrapText="1"/>
      <protection/>
    </xf>
    <xf numFmtId="4" fontId="9" fillId="33" borderId="21" xfId="45" applyNumberFormat="1" applyFont="1" applyFill="1" applyBorder="1">
      <alignment/>
      <protection/>
    </xf>
    <xf numFmtId="0" fontId="9" fillId="0" borderId="21" xfId="45" applyFont="1" applyFill="1" applyBorder="1" applyAlignment="1">
      <alignment horizontal="left" vertical="center" wrapText="1"/>
      <protection/>
    </xf>
    <xf numFmtId="0" fontId="9" fillId="0" borderId="19" xfId="45" applyFont="1" applyFill="1" applyBorder="1" applyAlignment="1">
      <alignment horizontal="left" vertical="center" wrapText="1"/>
      <protection/>
    </xf>
    <xf numFmtId="3" fontId="9" fillId="0" borderId="22" xfId="45" applyNumberFormat="1" applyFont="1" applyFill="1" applyBorder="1">
      <alignment/>
      <protection/>
    </xf>
    <xf numFmtId="3" fontId="9" fillId="0" borderId="23" xfId="45" applyNumberFormat="1" applyFont="1" applyFill="1" applyBorder="1">
      <alignment/>
      <protection/>
    </xf>
    <xf numFmtId="0" fontId="9" fillId="0" borderId="24" xfId="45" applyFont="1" applyFill="1" applyBorder="1" applyAlignment="1">
      <alignment horizontal="left" vertical="center" wrapText="1"/>
      <protection/>
    </xf>
    <xf numFmtId="0" fontId="7" fillId="0" borderId="25" xfId="45" applyFont="1" applyFill="1" applyBorder="1" applyAlignment="1">
      <alignment horizontal="left" vertical="center" wrapText="1"/>
      <protection/>
    </xf>
    <xf numFmtId="3" fontId="9" fillId="0" borderId="26" xfId="45" applyNumberFormat="1" applyFont="1" applyFill="1" applyBorder="1">
      <alignment/>
      <protection/>
    </xf>
    <xf numFmtId="0" fontId="7" fillId="0" borderId="19" xfId="45" applyFont="1" applyFill="1" applyBorder="1" applyAlignment="1">
      <alignment horizontal="left" vertical="center" wrapText="1"/>
      <protection/>
    </xf>
    <xf numFmtId="3" fontId="9" fillId="0" borderId="27" xfId="45" applyNumberFormat="1" applyFont="1" applyFill="1" applyBorder="1">
      <alignment/>
      <protection/>
    </xf>
    <xf numFmtId="0" fontId="9" fillId="0" borderId="25" xfId="45" applyFont="1" applyFill="1" applyBorder="1" applyAlignment="1">
      <alignment horizontal="left" vertical="center" wrapText="1"/>
      <protection/>
    </xf>
    <xf numFmtId="4" fontId="10" fillId="33" borderId="12" xfId="0" applyNumberFormat="1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6" fillId="33" borderId="28" xfId="45" applyNumberFormat="1" applyFont="1" applyFill="1" applyBorder="1">
      <alignment/>
      <protection/>
    </xf>
    <xf numFmtId="4" fontId="6" fillId="33" borderId="29" xfId="45" applyNumberFormat="1" applyFont="1" applyFill="1" applyBorder="1">
      <alignment/>
      <protection/>
    </xf>
    <xf numFmtId="4" fontId="6" fillId="33" borderId="30" xfId="45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49" fontId="5" fillId="0" borderId="31" xfId="45" applyNumberFormat="1" applyFont="1" applyFill="1" applyBorder="1" applyAlignment="1">
      <alignment horizontal="center" vertical="center"/>
      <protection/>
    </xf>
    <xf numFmtId="4" fontId="6" fillId="0" borderId="32" xfId="45" applyNumberFormat="1" applyFont="1" applyFill="1" applyBorder="1">
      <alignment/>
      <protection/>
    </xf>
    <xf numFmtId="4" fontId="6" fillId="33" borderId="31" xfId="45" applyNumberFormat="1" applyFont="1" applyFill="1" applyBorder="1">
      <alignment/>
      <protection/>
    </xf>
    <xf numFmtId="3" fontId="6" fillId="0" borderId="33" xfId="45" applyNumberFormat="1" applyFont="1" applyFill="1" applyBorder="1">
      <alignment/>
      <protection/>
    </xf>
    <xf numFmtId="3" fontId="9" fillId="0" borderId="24" xfId="45" applyNumberFormat="1" applyFont="1" applyFill="1" applyBorder="1">
      <alignment/>
      <protection/>
    </xf>
    <xf numFmtId="3" fontId="6" fillId="0" borderId="34" xfId="45" applyNumberFormat="1" applyFont="1" applyFill="1" applyBorder="1">
      <alignment/>
      <protection/>
    </xf>
    <xf numFmtId="3" fontId="9" fillId="0" borderId="31" xfId="45" applyNumberFormat="1" applyFont="1" applyFill="1" applyBorder="1">
      <alignment/>
      <protection/>
    </xf>
    <xf numFmtId="49" fontId="8" fillId="0" borderId="35" xfId="45" applyNumberFormat="1" applyFont="1" applyFill="1" applyBorder="1" applyAlignment="1">
      <alignment horizontal="center" vertical="center"/>
      <protection/>
    </xf>
    <xf numFmtId="4" fontId="7" fillId="33" borderId="31" xfId="45" applyNumberFormat="1" applyFont="1" applyFill="1" applyBorder="1">
      <alignment/>
      <protection/>
    </xf>
    <xf numFmtId="4" fontId="7" fillId="33" borderId="35" xfId="45" applyNumberFormat="1" applyFont="1" applyFill="1" applyBorder="1">
      <alignment/>
      <protection/>
    </xf>
    <xf numFmtId="4" fontId="6" fillId="0" borderId="0" xfId="45" applyNumberFormat="1" applyFont="1" applyFill="1" applyBorder="1">
      <alignment/>
      <protection/>
    </xf>
    <xf numFmtId="0" fontId="7" fillId="0" borderId="36" xfId="45" applyFont="1" applyFill="1" applyBorder="1" applyAlignment="1">
      <alignment horizontal="left" vertical="center" wrapText="1"/>
      <protection/>
    </xf>
    <xf numFmtId="4" fontId="9" fillId="33" borderId="37" xfId="45" applyNumberFormat="1" applyFont="1" applyFill="1" applyBorder="1">
      <alignment/>
      <protection/>
    </xf>
    <xf numFmtId="0" fontId="0" fillId="0" borderId="38" xfId="0" applyBorder="1" applyAlignment="1">
      <alignment vertical="center" textRotation="90" wrapText="1"/>
    </xf>
    <xf numFmtId="4" fontId="6" fillId="0" borderId="39" xfId="45" applyNumberFormat="1" applyFont="1" applyFill="1" applyBorder="1">
      <alignment/>
      <protection/>
    </xf>
    <xf numFmtId="4" fontId="5" fillId="0" borderId="16" xfId="45" applyNumberFormat="1" applyFont="1" applyFill="1" applyBorder="1">
      <alignment/>
      <protection/>
    </xf>
    <xf numFmtId="4" fontId="5" fillId="0" borderId="35" xfId="45" applyNumberFormat="1" applyFont="1" applyFill="1" applyBorder="1">
      <alignment/>
      <protection/>
    </xf>
    <xf numFmtId="4" fontId="5" fillId="0" borderId="40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4" fontId="5" fillId="0" borderId="15" xfId="45" applyNumberFormat="1" applyFont="1" applyFill="1" applyBorder="1">
      <alignment/>
      <protection/>
    </xf>
    <xf numFmtId="0" fontId="6" fillId="0" borderId="25" xfId="45" applyFont="1" applyFill="1" applyBorder="1" applyAlignment="1">
      <alignment horizontal="left" vertical="center" wrapText="1"/>
      <protection/>
    </xf>
    <xf numFmtId="4" fontId="5" fillId="0" borderId="16" xfId="45" applyNumberFormat="1" applyFont="1" applyFill="1" applyBorder="1">
      <alignment/>
      <protection/>
    </xf>
    <xf numFmtId="0" fontId="6" fillId="0" borderId="33" xfId="45" applyFont="1" applyFill="1" applyBorder="1" applyAlignment="1">
      <alignment horizontal="left" vertical="center" wrapText="1"/>
      <protection/>
    </xf>
    <xf numFmtId="3" fontId="6" fillId="0" borderId="25" xfId="45" applyNumberFormat="1" applyFont="1" applyFill="1" applyBorder="1">
      <alignment/>
      <protection/>
    </xf>
    <xf numFmtId="0" fontId="7" fillId="0" borderId="41" xfId="45" applyFont="1" applyFill="1" applyBorder="1" applyAlignment="1">
      <alignment horizontal="left" vertical="center" wrapText="1"/>
      <protection/>
    </xf>
    <xf numFmtId="4" fontId="5" fillId="0" borderId="40" xfId="45" applyNumberFormat="1" applyFont="1" applyFill="1" applyBorder="1">
      <alignment/>
      <protection/>
    </xf>
    <xf numFmtId="4" fontId="7" fillId="0" borderId="15" xfId="45" applyNumberFormat="1" applyFont="1" applyFill="1" applyBorder="1">
      <alignment/>
      <protection/>
    </xf>
    <xf numFmtId="4" fontId="7" fillId="0" borderId="16" xfId="45" applyNumberFormat="1" applyFont="1" applyFill="1" applyBorder="1">
      <alignment/>
      <protection/>
    </xf>
    <xf numFmtId="4" fontId="7" fillId="0" borderId="35" xfId="45" applyNumberFormat="1" applyFont="1" applyFill="1" applyBorder="1">
      <alignment/>
      <protection/>
    </xf>
    <xf numFmtId="0" fontId="0" fillId="0" borderId="16" xfId="0" applyFill="1" applyBorder="1" applyAlignment="1">
      <alignment vertical="center" textRotation="90"/>
    </xf>
    <xf numFmtId="4" fontId="5" fillId="0" borderId="18" xfId="45" applyNumberFormat="1" applyFont="1" applyFill="1" applyBorder="1">
      <alignment/>
      <protection/>
    </xf>
    <xf numFmtId="4" fontId="5" fillId="0" borderId="42" xfId="45" applyNumberFormat="1" applyFont="1" applyFill="1" applyBorder="1">
      <alignment/>
      <protection/>
    </xf>
    <xf numFmtId="3" fontId="6" fillId="34" borderId="34" xfId="45" applyNumberFormat="1" applyFont="1" applyFill="1" applyBorder="1">
      <alignment/>
      <protection/>
    </xf>
    <xf numFmtId="3" fontId="6" fillId="34" borderId="33" xfId="45" applyNumberFormat="1" applyFont="1" applyFill="1" applyBorder="1">
      <alignment/>
      <protection/>
    </xf>
    <xf numFmtId="3" fontId="9" fillId="34" borderId="28" xfId="45" applyNumberFormat="1" applyFont="1" applyFill="1" applyBorder="1">
      <alignment/>
      <protection/>
    </xf>
    <xf numFmtId="3" fontId="9" fillId="34" borderId="43" xfId="45" applyNumberFormat="1" applyFont="1" applyFill="1" applyBorder="1">
      <alignment/>
      <protection/>
    </xf>
    <xf numFmtId="3" fontId="6" fillId="34" borderId="44" xfId="45" applyNumberFormat="1" applyFont="1" applyFill="1" applyBorder="1">
      <alignment/>
      <protection/>
    </xf>
    <xf numFmtId="3" fontId="9" fillId="34" borderId="45" xfId="45" applyNumberFormat="1" applyFont="1" applyFill="1" applyBorder="1">
      <alignment/>
      <protection/>
    </xf>
    <xf numFmtId="3" fontId="9" fillId="34" borderId="46" xfId="45" applyNumberFormat="1" applyFont="1" applyFill="1" applyBorder="1">
      <alignment/>
      <protection/>
    </xf>
    <xf numFmtId="3" fontId="9" fillId="34" borderId="47" xfId="45" applyNumberFormat="1" applyFont="1" applyFill="1" applyBorder="1">
      <alignment/>
      <protection/>
    </xf>
    <xf numFmtId="3" fontId="6" fillId="0" borderId="44" xfId="45" applyNumberFormat="1" applyFont="1" applyFill="1" applyBorder="1">
      <alignment/>
      <protection/>
    </xf>
    <xf numFmtId="3" fontId="9" fillId="0" borderId="45" xfId="45" applyNumberFormat="1" applyFont="1" applyFill="1" applyBorder="1">
      <alignment/>
      <protection/>
    </xf>
    <xf numFmtId="3" fontId="9" fillId="0" borderId="46" xfId="45" applyNumberFormat="1" applyFont="1" applyFill="1" applyBorder="1">
      <alignment/>
      <protection/>
    </xf>
    <xf numFmtId="4" fontId="6" fillId="0" borderId="48" xfId="45" applyNumberFormat="1" applyFont="1" applyFill="1" applyBorder="1">
      <alignment/>
      <protection/>
    </xf>
    <xf numFmtId="3" fontId="6" fillId="0" borderId="44" xfId="45" applyNumberFormat="1" applyFont="1" applyFill="1" applyBorder="1">
      <alignment/>
      <protection/>
    </xf>
    <xf numFmtId="3" fontId="9" fillId="0" borderId="48" xfId="45" applyNumberFormat="1" applyFont="1" applyFill="1" applyBorder="1">
      <alignment/>
      <protection/>
    </xf>
    <xf numFmtId="3" fontId="9" fillId="0" borderId="47" xfId="45" applyNumberFormat="1" applyFont="1" applyFill="1" applyBorder="1">
      <alignment/>
      <protection/>
    </xf>
    <xf numFmtId="3" fontId="6" fillId="0" borderId="48" xfId="45" applyNumberFormat="1" applyFont="1" applyFill="1" applyBorder="1">
      <alignment/>
      <protection/>
    </xf>
    <xf numFmtId="0" fontId="6" fillId="0" borderId="33" xfId="45" applyFont="1" applyFill="1" applyBorder="1" applyAlignment="1">
      <alignment horizontal="left" vertical="center" wrapText="1"/>
      <protection/>
    </xf>
    <xf numFmtId="0" fontId="6" fillId="0" borderId="25" xfId="45" applyFont="1" applyFill="1" applyBorder="1" applyAlignment="1">
      <alignment horizontal="left" vertical="center" wrapText="1"/>
      <protection/>
    </xf>
    <xf numFmtId="0" fontId="6" fillId="0" borderId="33" xfId="45" applyFont="1" applyFill="1" applyBorder="1" applyAlignment="1">
      <alignment horizontal="left" vertical="center" wrapText="1"/>
      <protection/>
    </xf>
    <xf numFmtId="0" fontId="9" fillId="0" borderId="36" xfId="45" applyFont="1" applyFill="1" applyBorder="1" applyAlignment="1">
      <alignment horizontal="left" vertical="center" wrapText="1"/>
      <protection/>
    </xf>
    <xf numFmtId="3" fontId="6" fillId="34" borderId="48" xfId="45" applyNumberFormat="1" applyFont="1" applyFill="1" applyBorder="1">
      <alignment/>
      <protection/>
    </xf>
    <xf numFmtId="3" fontId="6" fillId="0" borderId="48" xfId="45" applyNumberFormat="1" applyFont="1" applyFill="1" applyBorder="1">
      <alignment/>
      <protection/>
    </xf>
    <xf numFmtId="3" fontId="9" fillId="0" borderId="28" xfId="45" applyNumberFormat="1" applyFont="1" applyFill="1" applyBorder="1">
      <alignment/>
      <protection/>
    </xf>
    <xf numFmtId="3" fontId="9" fillId="34" borderId="19" xfId="45" applyNumberFormat="1" applyFont="1" applyFill="1" applyBorder="1">
      <alignment/>
      <protection/>
    </xf>
    <xf numFmtId="3" fontId="9" fillId="34" borderId="24" xfId="45" applyNumberFormat="1" applyFont="1" applyFill="1" applyBorder="1">
      <alignment/>
      <protection/>
    </xf>
    <xf numFmtId="3" fontId="9" fillId="34" borderId="36" xfId="45" applyNumberFormat="1" applyFont="1" applyFill="1" applyBorder="1">
      <alignment/>
      <protection/>
    </xf>
    <xf numFmtId="4" fontId="6" fillId="0" borderId="25" xfId="45" applyNumberFormat="1" applyFont="1" applyFill="1" applyBorder="1">
      <alignment/>
      <protection/>
    </xf>
    <xf numFmtId="4" fontId="9" fillId="0" borderId="19" xfId="45" applyNumberFormat="1" applyFont="1" applyFill="1" applyBorder="1">
      <alignment/>
      <protection/>
    </xf>
    <xf numFmtId="3" fontId="6" fillId="0" borderId="33" xfId="45" applyNumberFormat="1" applyFont="1" applyFill="1" applyBorder="1">
      <alignment/>
      <protection/>
    </xf>
    <xf numFmtId="3" fontId="9" fillId="0" borderId="25" xfId="45" applyNumberFormat="1" applyFont="1" applyFill="1" applyBorder="1">
      <alignment/>
      <protection/>
    </xf>
    <xf numFmtId="3" fontId="9" fillId="0" borderId="36" xfId="45" applyNumberFormat="1" applyFont="1" applyFill="1" applyBorder="1">
      <alignment/>
      <protection/>
    </xf>
    <xf numFmtId="4" fontId="6" fillId="0" borderId="44" xfId="45" applyNumberFormat="1" applyFont="1" applyFill="1" applyBorder="1">
      <alignment/>
      <protection/>
    </xf>
    <xf numFmtId="49" fontId="5" fillId="0" borderId="48" xfId="45" applyNumberFormat="1" applyFont="1" applyFill="1" applyBorder="1" applyAlignment="1">
      <alignment horizontal="center" vertical="center"/>
      <protection/>
    </xf>
    <xf numFmtId="49" fontId="5" fillId="0" borderId="45" xfId="45" applyNumberFormat="1" applyFont="1" applyFill="1" applyBorder="1" applyAlignment="1">
      <alignment horizontal="center" vertical="center"/>
      <protection/>
    </xf>
    <xf numFmtId="49" fontId="5" fillId="0" borderId="47" xfId="45" applyNumberFormat="1" applyFont="1" applyFill="1" applyBorder="1" applyAlignment="1">
      <alignment horizontal="center" vertical="center"/>
      <protection/>
    </xf>
    <xf numFmtId="4" fontId="5" fillId="0" borderId="20" xfId="45" applyNumberFormat="1" applyFont="1" applyFill="1" applyBorder="1">
      <alignment/>
      <protection/>
    </xf>
    <xf numFmtId="4" fontId="6" fillId="33" borderId="32" xfId="45" applyNumberFormat="1" applyFont="1" applyFill="1" applyBorder="1">
      <alignment/>
      <protection/>
    </xf>
    <xf numFmtId="4" fontId="5" fillId="33" borderId="18" xfId="45" applyNumberFormat="1" applyFont="1" applyFill="1" applyBorder="1">
      <alignment/>
      <protection/>
    </xf>
    <xf numFmtId="4" fontId="5" fillId="33" borderId="42" xfId="45" applyNumberFormat="1" applyFont="1" applyFill="1" applyBorder="1">
      <alignment/>
      <protection/>
    </xf>
    <xf numFmtId="4" fontId="6" fillId="0" borderId="17" xfId="45" applyNumberFormat="1" applyFont="1" applyFill="1" applyBorder="1">
      <alignment/>
      <protection/>
    </xf>
    <xf numFmtId="4" fontId="5" fillId="33" borderId="20" xfId="45" applyNumberFormat="1" applyFont="1" applyFill="1" applyBorder="1">
      <alignment/>
      <protection/>
    </xf>
    <xf numFmtId="4" fontId="5" fillId="0" borderId="32" xfId="45" applyNumberFormat="1" applyFont="1" applyFill="1" applyBorder="1">
      <alignment/>
      <protection/>
    </xf>
    <xf numFmtId="4" fontId="5" fillId="0" borderId="18" xfId="45" applyNumberFormat="1" applyFont="1" applyFill="1" applyBorder="1">
      <alignment/>
      <protection/>
    </xf>
    <xf numFmtId="4" fontId="5" fillId="0" borderId="42" xfId="45" applyNumberFormat="1" applyFont="1" applyFill="1" applyBorder="1">
      <alignment/>
      <protection/>
    </xf>
    <xf numFmtId="4" fontId="7" fillId="0" borderId="17" xfId="45" applyNumberFormat="1" applyFont="1" applyFill="1" applyBorder="1">
      <alignment/>
      <protection/>
    </xf>
    <xf numFmtId="4" fontId="7" fillId="0" borderId="18" xfId="45" applyNumberFormat="1" applyFont="1" applyFill="1" applyBorder="1">
      <alignment/>
      <protection/>
    </xf>
    <xf numFmtId="4" fontId="7" fillId="0" borderId="20" xfId="45" applyNumberFormat="1" applyFont="1" applyFill="1" applyBorder="1">
      <alignment/>
      <protection/>
    </xf>
    <xf numFmtId="4" fontId="6" fillId="0" borderId="44" xfId="45" applyNumberFormat="1" applyFont="1" applyFill="1" applyBorder="1">
      <alignment/>
      <protection/>
    </xf>
    <xf numFmtId="4" fontId="9" fillId="0" borderId="45" xfId="45" applyNumberFormat="1" applyFont="1" applyFill="1" applyBorder="1">
      <alignment/>
      <protection/>
    </xf>
    <xf numFmtId="4" fontId="9" fillId="0" borderId="47" xfId="45" applyNumberFormat="1" applyFont="1" applyFill="1" applyBorder="1">
      <alignment/>
      <protection/>
    </xf>
    <xf numFmtId="4" fontId="6" fillId="0" borderId="44" xfId="45" applyNumberFormat="1" applyFont="1" applyFill="1" applyBorder="1">
      <alignment/>
      <protection/>
    </xf>
    <xf numFmtId="4" fontId="9" fillId="0" borderId="45" xfId="45" applyNumberFormat="1" applyFont="1" applyFill="1" applyBorder="1">
      <alignment/>
      <protection/>
    </xf>
    <xf numFmtId="4" fontId="9" fillId="0" borderId="46" xfId="45" applyNumberFormat="1" applyFont="1" applyFill="1" applyBorder="1">
      <alignment/>
      <protection/>
    </xf>
    <xf numFmtId="4" fontId="6" fillId="0" borderId="45" xfId="45" applyNumberFormat="1" applyFont="1" applyFill="1" applyBorder="1">
      <alignment/>
      <protection/>
    </xf>
    <xf numFmtId="4" fontId="6" fillId="0" borderId="46" xfId="45" applyNumberFormat="1" applyFont="1" applyFill="1" applyBorder="1">
      <alignment/>
      <protection/>
    </xf>
    <xf numFmtId="4" fontId="6" fillId="0" borderId="47" xfId="45" applyNumberFormat="1" applyFont="1" applyFill="1" applyBorder="1">
      <alignment/>
      <protection/>
    </xf>
    <xf numFmtId="4" fontId="7" fillId="0" borderId="25" xfId="45" applyNumberFormat="1" applyFont="1" applyFill="1" applyBorder="1">
      <alignment/>
      <protection/>
    </xf>
    <xf numFmtId="4" fontId="9" fillId="0" borderId="36" xfId="45" applyNumberFormat="1" applyFont="1" applyFill="1" applyBorder="1">
      <alignment/>
      <protection/>
    </xf>
    <xf numFmtId="4" fontId="9" fillId="0" borderId="25" xfId="45" applyNumberFormat="1" applyFont="1" applyFill="1" applyBorder="1">
      <alignment/>
      <protection/>
    </xf>
    <xf numFmtId="49" fontId="8" fillId="0" borderId="48" xfId="45" applyNumberFormat="1" applyFont="1" applyFill="1" applyBorder="1" applyAlignment="1">
      <alignment horizontal="center" vertical="center"/>
      <protection/>
    </xf>
    <xf numFmtId="49" fontId="8" fillId="0" borderId="45" xfId="45" applyNumberFormat="1" applyFont="1" applyFill="1" applyBorder="1" applyAlignment="1">
      <alignment horizontal="center" vertical="center"/>
      <protection/>
    </xf>
    <xf numFmtId="49" fontId="8" fillId="0" borderId="47" xfId="45" applyNumberFormat="1" applyFont="1" applyFill="1" applyBorder="1" applyAlignment="1">
      <alignment horizontal="center" vertical="center"/>
      <protection/>
    </xf>
    <xf numFmtId="4" fontId="9" fillId="0" borderId="45" xfId="45" applyNumberFormat="1" applyFont="1" applyFill="1" applyBorder="1">
      <alignment/>
      <protection/>
    </xf>
    <xf numFmtId="4" fontId="9" fillId="0" borderId="46" xfId="45" applyNumberFormat="1" applyFont="1" applyFill="1" applyBorder="1">
      <alignment/>
      <protection/>
    </xf>
    <xf numFmtId="3" fontId="9" fillId="34" borderId="13" xfId="45" applyNumberFormat="1" applyFont="1" applyFill="1" applyBorder="1">
      <alignment/>
      <protection/>
    </xf>
    <xf numFmtId="4" fontId="5" fillId="0" borderId="13" xfId="45" applyNumberFormat="1" applyFont="1" applyFill="1" applyBorder="1">
      <alignment/>
      <protection/>
    </xf>
    <xf numFmtId="3" fontId="9" fillId="34" borderId="49" xfId="45" applyNumberFormat="1" applyFont="1" applyFill="1" applyBorder="1">
      <alignment/>
      <protection/>
    </xf>
    <xf numFmtId="4" fontId="9" fillId="0" borderId="49" xfId="45" applyNumberFormat="1" applyFont="1" applyFill="1" applyBorder="1">
      <alignment/>
      <protection/>
    </xf>
    <xf numFmtId="4" fontId="5" fillId="0" borderId="49" xfId="45" applyNumberFormat="1" applyFont="1" applyFill="1" applyBorder="1">
      <alignment/>
      <protection/>
    </xf>
    <xf numFmtId="4" fontId="6" fillId="0" borderId="22" xfId="45" applyNumberFormat="1" applyFont="1" applyFill="1" applyBorder="1">
      <alignment/>
      <protection/>
    </xf>
    <xf numFmtId="3" fontId="9" fillId="34" borderId="10" xfId="45" applyNumberFormat="1" applyFont="1" applyFill="1" applyBorder="1">
      <alignment/>
      <protection/>
    </xf>
    <xf numFmtId="4" fontId="5" fillId="0" borderId="10" xfId="45" applyNumberFormat="1" applyFont="1" applyFill="1" applyBorder="1">
      <alignment/>
      <protection/>
    </xf>
    <xf numFmtId="4" fontId="6" fillId="0" borderId="50" xfId="45" applyNumberFormat="1" applyFont="1" applyFill="1" applyBorder="1">
      <alignment/>
      <protection/>
    </xf>
    <xf numFmtId="4" fontId="7" fillId="0" borderId="49" xfId="45" applyNumberFormat="1" applyFont="1" applyFill="1" applyBorder="1">
      <alignment/>
      <protection/>
    </xf>
    <xf numFmtId="4" fontId="9" fillId="0" borderId="39" xfId="45" applyNumberFormat="1" applyFont="1" applyFill="1" applyBorder="1">
      <alignment/>
      <protection/>
    </xf>
    <xf numFmtId="3" fontId="9" fillId="34" borderId="31" xfId="45" applyNumberFormat="1" applyFont="1" applyFill="1" applyBorder="1">
      <alignment/>
      <protection/>
    </xf>
    <xf numFmtId="4" fontId="9" fillId="0" borderId="31" xfId="45" applyNumberFormat="1" applyFont="1" applyFill="1" applyBorder="1">
      <alignment/>
      <protection/>
    </xf>
    <xf numFmtId="4" fontId="5" fillId="0" borderId="31" xfId="45" applyNumberFormat="1" applyFont="1" applyFill="1" applyBorder="1">
      <alignment/>
      <protection/>
    </xf>
    <xf numFmtId="0" fontId="6" fillId="0" borderId="51" xfId="45" applyFont="1" applyFill="1" applyBorder="1" applyAlignment="1">
      <alignment horizontal="left" vertical="center" wrapText="1"/>
      <protection/>
    </xf>
    <xf numFmtId="0" fontId="6" fillId="0" borderId="25" xfId="45" applyFont="1" applyFill="1" applyBorder="1" applyAlignment="1">
      <alignment horizontal="left" vertical="center" wrapText="1"/>
      <protection/>
    </xf>
    <xf numFmtId="4" fontId="6" fillId="33" borderId="17" xfId="45" applyNumberFormat="1" applyFont="1" applyFill="1" applyBorder="1">
      <alignment/>
      <protection/>
    </xf>
    <xf numFmtId="4" fontId="9" fillId="0" borderId="13" xfId="45" applyNumberFormat="1" applyFont="1" applyFill="1" applyBorder="1">
      <alignment/>
      <protection/>
    </xf>
    <xf numFmtId="3" fontId="9" fillId="0" borderId="51" xfId="45" applyNumberFormat="1" applyFont="1" applyFill="1" applyBorder="1">
      <alignment/>
      <protection/>
    </xf>
    <xf numFmtId="49" fontId="5" fillId="0" borderId="49" xfId="45" applyNumberFormat="1" applyFont="1" applyFill="1" applyBorder="1" applyAlignment="1">
      <alignment horizontal="center" vertical="center"/>
      <protection/>
    </xf>
    <xf numFmtId="4" fontId="9" fillId="0" borderId="49" xfId="45" applyNumberFormat="1" applyFont="1" applyFill="1" applyBorder="1">
      <alignment/>
      <protection/>
    </xf>
    <xf numFmtId="3" fontId="9" fillId="0" borderId="14" xfId="45" applyNumberFormat="1" applyFont="1" applyFill="1" applyBorder="1">
      <alignment/>
      <protection/>
    </xf>
    <xf numFmtId="3" fontId="9" fillId="0" borderId="11" xfId="45" applyNumberFormat="1" applyFont="1" applyFill="1" applyBorder="1">
      <alignment/>
      <protection/>
    </xf>
    <xf numFmtId="49" fontId="5" fillId="0" borderId="10" xfId="45" applyNumberFormat="1" applyFont="1" applyFill="1" applyBorder="1" applyAlignment="1">
      <alignment horizontal="center" vertical="center"/>
      <protection/>
    </xf>
    <xf numFmtId="4" fontId="9" fillId="0" borderId="10" xfId="45" applyNumberFormat="1" applyFont="1" applyFill="1" applyBorder="1">
      <alignment/>
      <protection/>
    </xf>
    <xf numFmtId="0" fontId="0" fillId="0" borderId="52" xfId="0" applyBorder="1" applyAlignment="1">
      <alignment/>
    </xf>
    <xf numFmtId="49" fontId="5" fillId="0" borderId="46" xfId="45" applyNumberFormat="1" applyFont="1" applyFill="1" applyBorder="1" applyAlignment="1">
      <alignment horizontal="center" vertical="center"/>
      <protection/>
    </xf>
    <xf numFmtId="49" fontId="8" fillId="0" borderId="46" xfId="45" applyNumberFormat="1" applyFont="1" applyFill="1" applyBorder="1" applyAlignment="1">
      <alignment horizontal="center" vertical="center"/>
      <protection/>
    </xf>
    <xf numFmtId="4" fontId="7" fillId="0" borderId="40" xfId="45" applyNumberFormat="1" applyFont="1" applyFill="1" applyBorder="1">
      <alignment/>
      <protection/>
    </xf>
    <xf numFmtId="4" fontId="7" fillId="0" borderId="53" xfId="45" applyNumberFormat="1" applyFont="1" applyFill="1" applyBorder="1">
      <alignment/>
      <protection/>
    </xf>
    <xf numFmtId="49" fontId="5" fillId="0" borderId="54" xfId="45" applyNumberFormat="1" applyFont="1" applyFill="1" applyBorder="1" applyAlignment="1">
      <alignment horizontal="center" vertical="center"/>
      <protection/>
    </xf>
    <xf numFmtId="49" fontId="5" fillId="0" borderId="55" xfId="45" applyNumberFormat="1" applyFont="1" applyFill="1" applyBorder="1" applyAlignment="1">
      <alignment horizontal="center" vertical="center"/>
      <protection/>
    </xf>
    <xf numFmtId="49" fontId="5" fillId="0" borderId="56" xfId="45" applyNumberFormat="1" applyFont="1" applyFill="1" applyBorder="1" applyAlignment="1">
      <alignment horizontal="center" vertical="center"/>
      <protection/>
    </xf>
    <xf numFmtId="49" fontId="5" fillId="0" borderId="54" xfId="45" applyNumberFormat="1" applyFont="1" applyFill="1" applyBorder="1" applyAlignment="1">
      <alignment horizontal="center" vertical="center"/>
      <protection/>
    </xf>
    <xf numFmtId="3" fontId="9" fillId="0" borderId="10" xfId="45" applyNumberFormat="1" applyFont="1" applyFill="1" applyBorder="1">
      <alignment/>
      <protection/>
    </xf>
    <xf numFmtId="3" fontId="9" fillId="0" borderId="49" xfId="45" applyNumberFormat="1" applyFont="1" applyFill="1" applyBorder="1">
      <alignment/>
      <protection/>
    </xf>
    <xf numFmtId="49" fontId="5" fillId="0" borderId="55" xfId="45" applyNumberFormat="1" applyFont="1" applyFill="1" applyBorder="1" applyAlignment="1">
      <alignment horizontal="center" vertical="center" wrapText="1"/>
      <protection/>
    </xf>
    <xf numFmtId="49" fontId="5" fillId="0" borderId="55" xfId="45" applyNumberFormat="1" applyFont="1" applyFill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49" fontId="5" fillId="0" borderId="55" xfId="45" applyNumberFormat="1" applyFont="1" applyFill="1" applyBorder="1" applyAlignment="1">
      <alignment horizontal="center" vertical="center" wrapText="1"/>
      <protection/>
    </xf>
    <xf numFmtId="49" fontId="5" fillId="0" borderId="56" xfId="45" applyNumberFormat="1" applyFont="1" applyFill="1" applyBorder="1" applyAlignment="1">
      <alignment horizontal="center" vertical="center" wrapText="1"/>
      <protection/>
    </xf>
    <xf numFmtId="3" fontId="6" fillId="0" borderId="44" xfId="45" applyNumberFormat="1" applyFont="1" applyFill="1" applyBorder="1">
      <alignment/>
      <protection/>
    </xf>
    <xf numFmtId="3" fontId="6" fillId="0" borderId="25" xfId="45" applyNumberFormat="1" applyFont="1" applyFill="1" applyBorder="1">
      <alignment/>
      <protection/>
    </xf>
    <xf numFmtId="174" fontId="6" fillId="0" borderId="44" xfId="45" applyNumberFormat="1" applyFont="1" applyFill="1" applyBorder="1">
      <alignment/>
      <protection/>
    </xf>
    <xf numFmtId="174" fontId="9" fillId="0" borderId="45" xfId="45" applyNumberFormat="1" applyFont="1" applyFill="1" applyBorder="1">
      <alignment/>
      <protection/>
    </xf>
    <xf numFmtId="174" fontId="9" fillId="0" borderId="47" xfId="45" applyNumberFormat="1" applyFont="1" applyFill="1" applyBorder="1">
      <alignment/>
      <protection/>
    </xf>
    <xf numFmtId="4" fontId="9" fillId="0" borderId="46" xfId="45" applyNumberFormat="1" applyFont="1" applyFill="1" applyBorder="1">
      <alignment/>
      <protection/>
    </xf>
    <xf numFmtId="174" fontId="9" fillId="0" borderId="45" xfId="45" applyNumberFormat="1" applyFont="1" applyFill="1" applyBorder="1">
      <alignment/>
      <protection/>
    </xf>
    <xf numFmtId="174" fontId="6" fillId="0" borderId="44" xfId="45" applyNumberFormat="1" applyFont="1" applyFill="1" applyBorder="1">
      <alignment/>
      <protection/>
    </xf>
    <xf numFmtId="174" fontId="9" fillId="0" borderId="47" xfId="45" applyNumberFormat="1" applyFont="1" applyFill="1" applyBorder="1">
      <alignment/>
      <protection/>
    </xf>
    <xf numFmtId="4" fontId="9" fillId="0" borderId="11" xfId="45" applyNumberFormat="1" applyFont="1" applyFill="1" applyBorder="1">
      <alignment/>
      <protection/>
    </xf>
    <xf numFmtId="174" fontId="9" fillId="0" borderId="46" xfId="45" applyNumberFormat="1" applyFont="1" applyFill="1" applyBorder="1">
      <alignment/>
      <protection/>
    </xf>
    <xf numFmtId="174" fontId="6" fillId="0" borderId="48" xfId="45" applyNumberFormat="1" applyFont="1" applyFill="1" applyBorder="1">
      <alignment/>
      <protection/>
    </xf>
    <xf numFmtId="174" fontId="6" fillId="0" borderId="57" xfId="45" applyNumberFormat="1" applyFont="1" applyFill="1" applyBorder="1">
      <alignment/>
      <protection/>
    </xf>
    <xf numFmtId="0" fontId="9" fillId="0" borderId="41" xfId="45" applyFont="1" applyFill="1" applyBorder="1" applyAlignment="1">
      <alignment horizontal="left" vertical="center" wrapText="1"/>
      <protection/>
    </xf>
    <xf numFmtId="0" fontId="0" fillId="0" borderId="55" xfId="0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3" fontId="9" fillId="0" borderId="30" xfId="45" applyNumberFormat="1" applyFont="1" applyFill="1" applyBorder="1">
      <alignment/>
      <protection/>
    </xf>
    <xf numFmtId="174" fontId="6" fillId="0" borderId="58" xfId="45" applyNumberFormat="1" applyFont="1" applyFill="1" applyBorder="1">
      <alignment/>
      <protection/>
    </xf>
    <xf numFmtId="174" fontId="9" fillId="0" borderId="59" xfId="45" applyNumberFormat="1" applyFont="1" applyFill="1" applyBorder="1">
      <alignment/>
      <protection/>
    </xf>
    <xf numFmtId="174" fontId="9" fillId="0" borderId="60" xfId="45" applyNumberFormat="1" applyFont="1" applyFill="1" applyBorder="1">
      <alignment/>
      <protection/>
    </xf>
    <xf numFmtId="4" fontId="9" fillId="0" borderId="60" xfId="45" applyNumberFormat="1" applyFont="1" applyFill="1" applyBorder="1">
      <alignment/>
      <protection/>
    </xf>
    <xf numFmtId="4" fontId="6" fillId="0" borderId="34" xfId="45" applyNumberFormat="1" applyFont="1" applyFill="1" applyBorder="1">
      <alignment/>
      <protection/>
    </xf>
    <xf numFmtId="4" fontId="5" fillId="0" borderId="28" xfId="45" applyNumberFormat="1" applyFont="1" applyFill="1" applyBorder="1">
      <alignment/>
      <protection/>
    </xf>
    <xf numFmtId="4" fontId="5" fillId="0" borderId="30" xfId="45" applyNumberFormat="1" applyFont="1" applyFill="1" applyBorder="1">
      <alignment/>
      <protection/>
    </xf>
    <xf numFmtId="4" fontId="5" fillId="0" borderId="45" xfId="45" applyNumberFormat="1" applyFont="1" applyFill="1" applyBorder="1">
      <alignment/>
      <protection/>
    </xf>
    <xf numFmtId="4" fontId="5" fillId="0" borderId="47" xfId="45" applyNumberFormat="1" applyFont="1" applyFill="1" applyBorder="1">
      <alignment/>
      <protection/>
    </xf>
    <xf numFmtId="0" fontId="6" fillId="0" borderId="44" xfId="45" applyFont="1" applyFill="1" applyBorder="1" applyAlignment="1">
      <alignment horizontal="left" vertical="center" wrapText="1"/>
      <protection/>
    </xf>
    <xf numFmtId="0" fontId="9" fillId="0" borderId="45" xfId="45" applyFont="1" applyFill="1" applyBorder="1" applyAlignment="1">
      <alignment horizontal="left" vertical="center" wrapText="1"/>
      <protection/>
    </xf>
    <xf numFmtId="0" fontId="9" fillId="0" borderId="47" xfId="45" applyFont="1" applyFill="1" applyBorder="1" applyAlignment="1">
      <alignment horizontal="left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6" fillId="0" borderId="34" xfId="45" applyFont="1" applyFill="1" applyBorder="1" applyAlignment="1">
      <alignment horizontal="center" vertical="center"/>
      <protection/>
    </xf>
    <xf numFmtId="0" fontId="6" fillId="0" borderId="61" xfId="45" applyFont="1" applyFill="1" applyBorder="1" applyAlignment="1">
      <alignment horizontal="center" vertical="center"/>
      <protection/>
    </xf>
    <xf numFmtId="0" fontId="6" fillId="0" borderId="30" xfId="45" applyFont="1" applyFill="1" applyBorder="1" applyAlignment="1">
      <alignment horizontal="center" vertical="center"/>
      <protection/>
    </xf>
    <xf numFmtId="0" fontId="6" fillId="0" borderId="54" xfId="45" applyFont="1" applyFill="1" applyBorder="1" applyAlignment="1">
      <alignment horizontal="center" vertical="center"/>
      <protection/>
    </xf>
    <xf numFmtId="0" fontId="5" fillId="0" borderId="62" xfId="45" applyFont="1" applyFill="1" applyBorder="1" applyAlignment="1">
      <alignment horizontal="centerContinuous" vertical="center"/>
      <protection/>
    </xf>
    <xf numFmtId="0" fontId="5" fillId="0" borderId="63" xfId="45" applyFont="1" applyFill="1" applyBorder="1" applyAlignment="1">
      <alignment horizontal="centerContinuous" vertical="center" wrapText="1"/>
      <protection/>
    </xf>
    <xf numFmtId="0" fontId="5" fillId="0" borderId="64" xfId="45" applyFont="1" applyFill="1" applyBorder="1" applyAlignment="1">
      <alignment horizontal="centerContinuous" vertical="center" wrapText="1"/>
      <protection/>
    </xf>
    <xf numFmtId="0" fontId="5" fillId="0" borderId="65" xfId="45" applyFont="1" applyFill="1" applyBorder="1" applyAlignment="1">
      <alignment horizontal="centerContinuous" vertical="center" wrapText="1"/>
      <protection/>
    </xf>
    <xf numFmtId="4" fontId="9" fillId="0" borderId="66" xfId="45" applyNumberFormat="1" applyFont="1" applyFill="1" applyBorder="1">
      <alignment/>
      <protection/>
    </xf>
    <xf numFmtId="4" fontId="5" fillId="0" borderId="66" xfId="45" applyNumberFormat="1" applyFont="1" applyFill="1" applyBorder="1">
      <alignment/>
      <protection/>
    </xf>
    <xf numFmtId="4" fontId="6" fillId="0" borderId="67" xfId="45" applyNumberFormat="1" applyFont="1" applyFill="1" applyBorder="1">
      <alignment/>
      <protection/>
    </xf>
    <xf numFmtId="0" fontId="0" fillId="0" borderId="56" xfId="0" applyBorder="1" applyAlignment="1">
      <alignment horizontal="center" vertical="center"/>
    </xf>
    <xf numFmtId="4" fontId="9" fillId="0" borderId="20" xfId="45" applyNumberFormat="1" applyFont="1" applyFill="1" applyBorder="1">
      <alignment/>
      <protection/>
    </xf>
    <xf numFmtId="2" fontId="6" fillId="0" borderId="54" xfId="45" applyNumberFormat="1" applyFont="1" applyFill="1" applyBorder="1" applyAlignment="1">
      <alignment horizontal="center" vertical="center" wrapText="1"/>
      <protection/>
    </xf>
    <xf numFmtId="2" fontId="6" fillId="0" borderId="55" xfId="45" applyNumberFormat="1" applyFont="1" applyFill="1" applyBorder="1" applyAlignment="1">
      <alignment horizontal="center" vertical="center" wrapText="1"/>
      <protection/>
    </xf>
    <xf numFmtId="49" fontId="15" fillId="0" borderId="0" xfId="45" applyNumberFormat="1" applyFont="1" applyFill="1" applyBorder="1" applyAlignment="1">
      <alignment horizontal="center" vertical="center"/>
      <protection/>
    </xf>
    <xf numFmtId="49" fontId="15" fillId="0" borderId="54" xfId="45" applyNumberFormat="1" applyFont="1" applyFill="1" applyBorder="1" applyAlignment="1">
      <alignment horizontal="center" vertical="center"/>
      <protection/>
    </xf>
    <xf numFmtId="49" fontId="15" fillId="0" borderId="55" xfId="45" applyNumberFormat="1" applyFont="1" applyFill="1" applyBorder="1" applyAlignment="1">
      <alignment horizontal="center" vertical="center"/>
      <protection/>
    </xf>
    <xf numFmtId="49" fontId="13" fillId="0" borderId="54" xfId="45" applyNumberFormat="1" applyFont="1" applyFill="1" applyBorder="1" applyAlignment="1">
      <alignment horizontal="center" vertical="center"/>
      <protection/>
    </xf>
    <xf numFmtId="49" fontId="13" fillId="0" borderId="55" xfId="45" applyNumberFormat="1" applyFont="1" applyFill="1" applyBorder="1" applyAlignment="1">
      <alignment horizontal="center" vertical="center"/>
      <protection/>
    </xf>
    <xf numFmtId="49" fontId="13" fillId="0" borderId="56" xfId="45" applyNumberFormat="1" applyFont="1" applyFill="1" applyBorder="1" applyAlignment="1">
      <alignment horizontal="center" vertical="center"/>
      <protection/>
    </xf>
    <xf numFmtId="0" fontId="5" fillId="0" borderId="68" xfId="45" applyFont="1" applyFill="1" applyBorder="1" applyAlignment="1">
      <alignment horizontal="center" vertical="center" textRotation="90" wrapText="1"/>
      <protection/>
    </xf>
    <xf numFmtId="0" fontId="5" fillId="0" borderId="0" xfId="45" applyFont="1" applyFill="1" applyBorder="1" applyAlignment="1">
      <alignment horizontal="center" vertical="center" textRotation="90" wrapText="1"/>
      <protection/>
    </xf>
    <xf numFmtId="0" fontId="5" fillId="0" borderId="69" xfId="45" applyFont="1" applyFill="1" applyBorder="1" applyAlignment="1">
      <alignment horizontal="center" vertical="center" textRotation="90" wrapText="1"/>
      <protection/>
    </xf>
    <xf numFmtId="49" fontId="13" fillId="0" borderId="55" xfId="45" applyNumberFormat="1" applyFont="1" applyFill="1" applyBorder="1" applyAlignment="1">
      <alignment horizontal="center" vertical="center" wrapText="1"/>
      <protection/>
    </xf>
    <xf numFmtId="49" fontId="5" fillId="0" borderId="54" xfId="45" applyNumberFormat="1" applyFont="1" applyFill="1" applyBorder="1" applyAlignment="1">
      <alignment horizontal="center" vertical="center"/>
      <protection/>
    </xf>
    <xf numFmtId="49" fontId="5" fillId="0" borderId="55" xfId="45" applyNumberFormat="1" applyFont="1" applyFill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49" fontId="5" fillId="0" borderId="54" xfId="45" applyNumberFormat="1" applyFont="1" applyFill="1" applyBorder="1" applyAlignment="1">
      <alignment horizontal="center" vertical="center"/>
      <protection/>
    </xf>
    <xf numFmtId="49" fontId="15" fillId="0" borderId="56" xfId="45" applyNumberFormat="1" applyFont="1" applyFill="1" applyBorder="1" applyAlignment="1">
      <alignment horizontal="center" vertical="center"/>
      <protection/>
    </xf>
    <xf numFmtId="49" fontId="13" fillId="0" borderId="70" xfId="45" applyNumberFormat="1" applyFont="1" applyFill="1" applyBorder="1" applyAlignment="1">
      <alignment horizontal="center" vertical="center"/>
      <protection/>
    </xf>
    <xf numFmtId="49" fontId="13" fillId="0" borderId="71" xfId="45" applyNumberFormat="1" applyFont="1" applyFill="1" applyBorder="1" applyAlignment="1">
      <alignment horizontal="center" vertical="center"/>
      <protection/>
    </xf>
    <xf numFmtId="49" fontId="13" fillId="0" borderId="72" xfId="45" applyNumberFormat="1" applyFont="1" applyFill="1" applyBorder="1" applyAlignment="1">
      <alignment horizontal="center" vertical="center"/>
      <protection/>
    </xf>
    <xf numFmtId="49" fontId="5" fillId="0" borderId="55" xfId="45" applyNumberFormat="1" applyFont="1" applyFill="1" applyBorder="1" applyAlignment="1">
      <alignment horizontal="center" vertical="center" wrapText="1"/>
      <protection/>
    </xf>
    <xf numFmtId="49" fontId="5" fillId="0" borderId="56" xfId="45" applyNumberFormat="1" applyFont="1" applyFill="1" applyBorder="1" applyAlignment="1">
      <alignment horizontal="center" vertical="center"/>
      <protection/>
    </xf>
    <xf numFmtId="49" fontId="5" fillId="0" borderId="54" xfId="45" applyNumberFormat="1" applyFont="1" applyFill="1" applyBorder="1" applyAlignment="1">
      <alignment horizontal="center" vertical="center" wrapText="1"/>
      <protection/>
    </xf>
    <xf numFmtId="49" fontId="5" fillId="0" borderId="56" xfId="45" applyNumberFormat="1" applyFont="1" applyFill="1" applyBorder="1" applyAlignment="1">
      <alignment horizontal="center" vertical="center" wrapText="1"/>
      <protection/>
    </xf>
    <xf numFmtId="49" fontId="5" fillId="0" borderId="48" xfId="45" applyNumberFormat="1" applyFont="1" applyFill="1" applyBorder="1" applyAlignment="1">
      <alignment horizontal="center" vertical="center"/>
      <protection/>
    </xf>
    <xf numFmtId="49" fontId="5" fillId="0" borderId="55" xfId="45" applyNumberFormat="1" applyFont="1" applyFill="1" applyBorder="1" applyAlignment="1">
      <alignment horizontal="center" vertical="center"/>
      <protection/>
    </xf>
    <xf numFmtId="0" fontId="0" fillId="0" borderId="35" xfId="0" applyFill="1" applyBorder="1" applyAlignment="1">
      <alignment vertical="center" textRotation="90" wrapText="1"/>
    </xf>
    <xf numFmtId="0" fontId="0" fillId="0" borderId="52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vertical="center" textRotation="90" wrapText="1"/>
    </xf>
    <xf numFmtId="0" fontId="0" fillId="0" borderId="16" xfId="0" applyBorder="1" applyAlignment="1">
      <alignment vertical="center" textRotation="90" wrapText="1"/>
    </xf>
    <xf numFmtId="0" fontId="14" fillId="0" borderId="48" xfId="0" applyFont="1" applyFill="1" applyBorder="1" applyAlignment="1">
      <alignment horizontal="center" vertical="center"/>
    </xf>
    <xf numFmtId="49" fontId="5" fillId="0" borderId="33" xfId="45" applyNumberFormat="1" applyFont="1" applyFill="1" applyBorder="1" applyAlignment="1">
      <alignment horizontal="center" vertical="center" wrapText="1"/>
      <protection/>
    </xf>
    <xf numFmtId="49" fontId="5" fillId="0" borderId="19" xfId="45" applyNumberFormat="1" applyFont="1" applyFill="1" applyBorder="1" applyAlignment="1">
      <alignment horizontal="center" vertical="center" wrapText="1"/>
      <protection/>
    </xf>
    <xf numFmtId="0" fontId="0" fillId="0" borderId="36" xfId="0" applyFill="1" applyBorder="1" applyAlignment="1">
      <alignment horizontal="center" vertical="center" wrapText="1"/>
    </xf>
    <xf numFmtId="49" fontId="13" fillId="0" borderId="44" xfId="45" applyNumberFormat="1" applyFont="1" applyFill="1" applyBorder="1" applyAlignment="1">
      <alignment horizontal="center" vertical="center" wrapText="1"/>
      <protection/>
    </xf>
    <xf numFmtId="49" fontId="13" fillId="0" borderId="45" xfId="45" applyNumberFormat="1" applyFont="1" applyFill="1" applyBorder="1" applyAlignment="1">
      <alignment horizontal="center" vertical="center" wrapText="1"/>
      <protection/>
    </xf>
    <xf numFmtId="0" fontId="14" fillId="0" borderId="47" xfId="0" applyFont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49" fontId="13" fillId="0" borderId="54" xfId="45" applyNumberFormat="1" applyFont="1" applyFill="1" applyBorder="1" applyAlignment="1">
      <alignment horizontal="center" vertical="center" wrapText="1"/>
      <protection/>
    </xf>
    <xf numFmtId="0" fontId="14" fillId="0" borderId="55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6" fillId="0" borderId="54" xfId="45" applyFont="1" applyFill="1" applyBorder="1" applyAlignment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49" fontId="5" fillId="0" borderId="44" xfId="45" applyNumberFormat="1" applyFont="1" applyFill="1" applyBorder="1" applyAlignment="1">
      <alignment horizontal="center" vertical="center" wrapText="1"/>
      <protection/>
    </xf>
    <xf numFmtId="49" fontId="5" fillId="0" borderId="45" xfId="45" applyNumberFormat="1" applyFont="1" applyFill="1" applyBorder="1" applyAlignment="1">
      <alignment horizontal="center" vertical="center" wrapText="1"/>
      <protection/>
    </xf>
    <xf numFmtId="0" fontId="0" fillId="0" borderId="47" xfId="0" applyFill="1" applyBorder="1" applyAlignment="1">
      <alignment horizontal="center" vertical="center" wrapText="1"/>
    </xf>
    <xf numFmtId="0" fontId="5" fillId="0" borderId="73" xfId="45" applyFont="1" applyFill="1" applyBorder="1" applyAlignment="1">
      <alignment horizontal="center" vertical="center" textRotation="90" wrapText="1"/>
      <protection/>
    </xf>
    <xf numFmtId="0" fontId="5" fillId="0" borderId="74" xfId="45" applyFont="1" applyFill="1" applyBorder="1" applyAlignment="1">
      <alignment horizontal="center" vertical="center" textRotation="90"/>
      <protection/>
    </xf>
    <xf numFmtId="0" fontId="5" fillId="0" borderId="53" xfId="45" applyFont="1" applyFill="1" applyBorder="1" applyAlignment="1">
      <alignment horizontal="center" vertical="center" textRotation="90"/>
      <protection/>
    </xf>
    <xf numFmtId="0" fontId="5" fillId="0" borderId="75" xfId="45" applyFont="1" applyFill="1" applyBorder="1" applyAlignment="1">
      <alignment horizontal="center" vertical="center" textRotation="90" wrapText="1"/>
      <protection/>
    </xf>
    <xf numFmtId="0" fontId="5" fillId="0" borderId="76" xfId="45" applyFont="1" applyFill="1" applyBorder="1" applyAlignment="1">
      <alignment horizontal="center" vertical="center" textRotation="90" wrapText="1"/>
      <protection/>
    </xf>
    <xf numFmtId="0" fontId="5" fillId="0" borderId="66" xfId="45" applyFont="1" applyFill="1" applyBorder="1" applyAlignment="1">
      <alignment horizontal="center" vertical="center" textRotation="90" wrapText="1"/>
      <protection/>
    </xf>
    <xf numFmtId="0" fontId="5" fillId="0" borderId="77" xfId="45" applyFont="1" applyFill="1" applyBorder="1" applyAlignment="1">
      <alignment horizontal="center" vertical="center" wrapText="1"/>
      <protection/>
    </xf>
    <xf numFmtId="0" fontId="5" fillId="0" borderId="41" xfId="45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vertical="center" textRotation="90" wrapText="1"/>
    </xf>
    <xf numFmtId="0" fontId="0" fillId="0" borderId="38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54" xfId="45" applyFont="1" applyFill="1" applyBorder="1" applyAlignment="1">
      <alignment horizontal="center" vertical="center" wrapText="1"/>
      <protection/>
    </xf>
    <xf numFmtId="0" fontId="5" fillId="0" borderId="55" xfId="45" applyFont="1" applyFill="1" applyBorder="1" applyAlignment="1">
      <alignment horizontal="center" vertical="center"/>
      <protection/>
    </xf>
    <xf numFmtId="0" fontId="5" fillId="0" borderId="54" xfId="45" applyFont="1" applyFill="1" applyBorder="1" applyAlignment="1">
      <alignment horizontal="center" vertical="center" textRotation="90" wrapText="1"/>
      <protection/>
    </xf>
    <xf numFmtId="0" fontId="5" fillId="0" borderId="55" xfId="45" applyFont="1" applyFill="1" applyBorder="1" applyAlignment="1">
      <alignment horizontal="center" vertical="center" textRotation="90" wrapText="1"/>
      <protection/>
    </xf>
    <xf numFmtId="0" fontId="5" fillId="0" borderId="56" xfId="4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120" zoomScaleNormal="120" zoomScaleSheetLayoutView="120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3" sqref="I13"/>
    </sheetView>
  </sheetViews>
  <sheetFormatPr defaultColWidth="9.00390625" defaultRowHeight="12.75"/>
  <cols>
    <col min="1" max="1" width="4.375" style="0" customWidth="1"/>
    <col min="2" max="2" width="32.375" style="0" customWidth="1"/>
    <col min="3" max="3" width="9.00390625" style="5" customWidth="1"/>
    <col min="4" max="4" width="14.625" style="5" customWidth="1"/>
    <col min="5" max="5" width="10.25390625" style="5" customWidth="1"/>
    <col min="6" max="7" width="9.125" style="1" customWidth="1"/>
    <col min="8" max="8" width="9.625" style="0" bestFit="1" customWidth="1"/>
    <col min="9" max="9" width="14.25390625" style="5" customWidth="1"/>
    <col min="10" max="10" width="11.875" style="5" hidden="1" customWidth="1"/>
    <col min="11" max="11" width="12.25390625" style="5" customWidth="1"/>
    <col min="12" max="12" width="13.00390625" style="5" customWidth="1"/>
    <col min="13" max="13" width="13.75390625" style="0" bestFit="1" customWidth="1"/>
  </cols>
  <sheetData>
    <row r="1" spans="2:13" s="1" customFormat="1" ht="16.5" thickBot="1">
      <c r="B1" s="25" t="s">
        <v>96</v>
      </c>
      <c r="L1" s="1" t="s">
        <v>63</v>
      </c>
      <c r="M1" s="1" t="s">
        <v>24</v>
      </c>
    </row>
    <row r="2" spans="2:13" s="1" customFormat="1" ht="24" customHeight="1" thickBot="1">
      <c r="B2" s="292" t="s">
        <v>0</v>
      </c>
      <c r="C2" s="297" t="s">
        <v>25</v>
      </c>
      <c r="D2" s="243" t="s">
        <v>1</v>
      </c>
      <c r="E2" s="299" t="s">
        <v>2</v>
      </c>
      <c r="F2" s="286" t="s">
        <v>3</v>
      </c>
      <c r="G2" s="289" t="s">
        <v>4</v>
      </c>
      <c r="H2" s="243" t="s">
        <v>5</v>
      </c>
      <c r="I2" s="280" t="s">
        <v>94</v>
      </c>
      <c r="J2" s="222">
        <v>2008</v>
      </c>
      <c r="K2" s="223">
        <v>2010</v>
      </c>
      <c r="L2" s="235" t="s">
        <v>95</v>
      </c>
      <c r="M2" s="26"/>
    </row>
    <row r="3" spans="2:13" s="1" customFormat="1" ht="13.5" thickBot="1">
      <c r="B3" s="293"/>
      <c r="C3" s="298"/>
      <c r="D3" s="244"/>
      <c r="E3" s="300"/>
      <c r="F3" s="287"/>
      <c r="G3" s="290"/>
      <c r="H3" s="244"/>
      <c r="I3" s="281"/>
      <c r="J3" s="224" t="s">
        <v>15</v>
      </c>
      <c r="K3" s="225" t="s">
        <v>15</v>
      </c>
      <c r="L3" s="236"/>
      <c r="M3" s="21"/>
    </row>
    <row r="4" spans="2:13" s="1" customFormat="1" ht="13.5" thickBot="1">
      <c r="B4" s="293"/>
      <c r="C4" s="298"/>
      <c r="D4" s="245"/>
      <c r="E4" s="301"/>
      <c r="F4" s="288"/>
      <c r="G4" s="291"/>
      <c r="H4" s="245"/>
      <c r="I4" s="226"/>
      <c r="J4" s="227"/>
      <c r="K4" s="228"/>
      <c r="L4" s="229"/>
      <c r="M4" s="21"/>
    </row>
    <row r="5" spans="1:13" s="1" customFormat="1" ht="12.75" customHeight="1" hidden="1">
      <c r="A5" s="68"/>
      <c r="B5" s="43" t="s">
        <v>19</v>
      </c>
      <c r="C5" s="44"/>
      <c r="D5" s="27"/>
      <c r="E5" s="28"/>
      <c r="F5" s="6"/>
      <c r="G5" s="6"/>
      <c r="H5" s="34"/>
      <c r="I5" s="37"/>
      <c r="J5" s="10" t="e">
        <f>#REF!</f>
        <v>#REF!</v>
      </c>
      <c r="K5" s="18" t="e">
        <f>#REF!</f>
        <v>#REF!</v>
      </c>
      <c r="L5" s="13" t="e">
        <f>SUM(#REF!/30.126)</f>
        <v>#REF!</v>
      </c>
      <c r="M5" s="21"/>
    </row>
    <row r="6" spans="1:13" s="1" customFormat="1" ht="12.75" customHeight="1" hidden="1">
      <c r="A6" s="68"/>
      <c r="B6" s="45" t="s">
        <v>20</v>
      </c>
      <c r="C6" s="40"/>
      <c r="D6" s="29"/>
      <c r="E6" s="24"/>
      <c r="F6" s="7"/>
      <c r="G6" s="7"/>
      <c r="H6" s="35"/>
      <c r="I6" s="22"/>
      <c r="J6" s="11" t="e">
        <f>#REF!</f>
        <v>#REF!</v>
      </c>
      <c r="K6" s="19" t="e">
        <f>#REF!</f>
        <v>#REF!</v>
      </c>
      <c r="L6" s="9" t="e">
        <f>SUM(#REF!/30.126)</f>
        <v>#REF!</v>
      </c>
      <c r="M6" s="21"/>
    </row>
    <row r="7" spans="1:13" s="1" customFormat="1" ht="13.5" customHeight="1" hidden="1" thickBot="1">
      <c r="A7" s="68"/>
      <c r="B7" s="66" t="s">
        <v>21</v>
      </c>
      <c r="C7" s="41"/>
      <c r="D7" s="31"/>
      <c r="E7" s="61"/>
      <c r="F7" s="55"/>
      <c r="G7" s="55"/>
      <c r="H7" s="62"/>
      <c r="I7" s="67"/>
      <c r="J7" s="63" t="e">
        <f>#REF!</f>
        <v>#REF!</v>
      </c>
      <c r="K7" s="64" t="e">
        <f>#REF!</f>
        <v>#REF!</v>
      </c>
      <c r="L7" s="57" t="e">
        <f>SUM(#REF!/30.126)</f>
        <v>#REF!</v>
      </c>
      <c r="M7" s="21"/>
    </row>
    <row r="8" spans="1:13" s="1" customFormat="1" ht="22.5">
      <c r="A8" s="264" t="s">
        <v>39</v>
      </c>
      <c r="B8" s="218" t="s">
        <v>26</v>
      </c>
      <c r="C8" s="95">
        <f>C9+C10+C11</f>
        <v>158841.376</v>
      </c>
      <c r="D8" s="60">
        <f>158023546.09/1000</f>
        <v>158023.54609000002</v>
      </c>
      <c r="E8" s="58">
        <f>158023546.09/1000</f>
        <v>158023.54609000002</v>
      </c>
      <c r="F8" s="283" t="s">
        <v>52</v>
      </c>
      <c r="G8" s="267" t="s">
        <v>53</v>
      </c>
      <c r="H8" s="270" t="s">
        <v>36</v>
      </c>
      <c r="I8" s="209">
        <f>SUM(I9:I12)</f>
        <v>102664.58335</v>
      </c>
      <c r="J8" s="213"/>
      <c r="K8" s="137">
        <f>SUM(K9:K12)</f>
        <v>54819.759999999995</v>
      </c>
      <c r="L8" s="194">
        <f>SUM(L9:L12)</f>
        <v>54818.76035</v>
      </c>
      <c r="M8" s="21"/>
    </row>
    <row r="9" spans="1:13" s="1" customFormat="1" ht="12.75">
      <c r="A9" s="265"/>
      <c r="B9" s="219" t="s">
        <v>27</v>
      </c>
      <c r="C9" s="96">
        <v>85877.52</v>
      </c>
      <c r="D9" s="109">
        <f>0.54065*D8</f>
        <v>85435.43019355851</v>
      </c>
      <c r="E9" s="30">
        <f>0.54065*E8</f>
        <v>85435.43019355851</v>
      </c>
      <c r="F9" s="284"/>
      <c r="G9" s="268"/>
      <c r="H9" s="271"/>
      <c r="I9" s="210">
        <v>81583.49581</v>
      </c>
      <c r="J9" s="214"/>
      <c r="K9" s="216">
        <v>46030.7</v>
      </c>
      <c r="L9" s="195">
        <v>46030.69627</v>
      </c>
      <c r="M9" s="21"/>
    </row>
    <row r="10" spans="1:13" s="1" customFormat="1" ht="12.75">
      <c r="A10" s="265"/>
      <c r="B10" s="219" t="s">
        <v>28</v>
      </c>
      <c r="C10" s="96">
        <v>15154.856</v>
      </c>
      <c r="D10" s="109">
        <f>0.09541*D8</f>
        <v>15077.0265324469</v>
      </c>
      <c r="E10" s="30">
        <f>0.09541*E8</f>
        <v>15077.0265324469</v>
      </c>
      <c r="F10" s="284"/>
      <c r="G10" s="268"/>
      <c r="H10" s="271"/>
      <c r="I10" s="211">
        <v>14397.08754</v>
      </c>
      <c r="J10" s="215"/>
      <c r="K10" s="217">
        <v>8123.06</v>
      </c>
      <c r="L10" s="196">
        <v>8123.06408</v>
      </c>
      <c r="M10" s="21"/>
    </row>
    <row r="11" spans="1:13" s="1" customFormat="1" ht="12.75">
      <c r="A11" s="265"/>
      <c r="B11" s="220" t="s">
        <v>29</v>
      </c>
      <c r="C11" s="101">
        <v>57809</v>
      </c>
      <c r="D11" s="208">
        <v>57511</v>
      </c>
      <c r="E11" s="144">
        <v>57511</v>
      </c>
      <c r="F11" s="285"/>
      <c r="G11" s="269"/>
      <c r="H11" s="272"/>
      <c r="I11" s="212">
        <v>0</v>
      </c>
      <c r="J11" s="215"/>
      <c r="K11" s="217">
        <v>0</v>
      </c>
      <c r="L11" s="136">
        <v>0</v>
      </c>
      <c r="M11" s="21"/>
    </row>
    <row r="12" spans="1:13" s="1" customFormat="1" ht="13.5" thickBot="1">
      <c r="A12" s="265"/>
      <c r="B12" s="220" t="s">
        <v>93</v>
      </c>
      <c r="C12" s="101"/>
      <c r="D12" s="208"/>
      <c r="E12" s="144"/>
      <c r="F12" s="206"/>
      <c r="G12" s="221"/>
      <c r="H12" s="207"/>
      <c r="I12" s="234">
        <v>6684</v>
      </c>
      <c r="J12" s="71"/>
      <c r="K12" s="217">
        <v>666</v>
      </c>
      <c r="L12" s="136">
        <v>665</v>
      </c>
      <c r="M12" s="21"/>
    </row>
    <row r="13" spans="1:13" s="1" customFormat="1" ht="45">
      <c r="A13" s="265"/>
      <c r="B13" s="103" t="s">
        <v>51</v>
      </c>
      <c r="C13" s="91">
        <v>25191</v>
      </c>
      <c r="D13" s="87">
        <f>5176+10555</f>
        <v>15731</v>
      </c>
      <c r="E13" s="88">
        <f>5176+10555</f>
        <v>15731</v>
      </c>
      <c r="F13" s="247" t="s">
        <v>61</v>
      </c>
      <c r="G13" s="247" t="s">
        <v>65</v>
      </c>
      <c r="H13" s="240" t="s">
        <v>36</v>
      </c>
      <c r="I13" s="194">
        <f>I14+I15</f>
        <v>7276.91519</v>
      </c>
      <c r="J13" s="123"/>
      <c r="K13" s="69">
        <f>K14+K15</f>
        <v>1347.305</v>
      </c>
      <c r="L13" s="194">
        <f>L14+L15</f>
        <v>1347.30028</v>
      </c>
      <c r="M13" s="21"/>
    </row>
    <row r="14" spans="1:13" s="1" customFormat="1" ht="12.75">
      <c r="A14" s="265"/>
      <c r="B14" s="39" t="s">
        <v>57</v>
      </c>
      <c r="C14" s="92">
        <v>21412</v>
      </c>
      <c r="D14" s="89">
        <f>3882+8971.75</f>
        <v>12853.75</v>
      </c>
      <c r="E14" s="110">
        <f>3882+8971.75</f>
        <v>12853.75</v>
      </c>
      <c r="F14" s="248"/>
      <c r="G14" s="248"/>
      <c r="H14" s="241"/>
      <c r="I14" s="198">
        <f>1789.31636+3878.87784</f>
        <v>5668.1942</v>
      </c>
      <c r="J14" s="124"/>
      <c r="K14" s="70">
        <v>1145.21</v>
      </c>
      <c r="L14" s="195">
        <v>1145.20524</v>
      </c>
      <c r="M14" s="21"/>
    </row>
    <row r="15" spans="1:13" s="1" customFormat="1" ht="13.5" thickBot="1">
      <c r="A15" s="265"/>
      <c r="B15" s="42" t="s">
        <v>56</v>
      </c>
      <c r="C15" s="93">
        <v>3779</v>
      </c>
      <c r="D15" s="90">
        <f>1294+1583.25</f>
        <v>2877.25</v>
      </c>
      <c r="E15" s="111">
        <f>1294+1583.25</f>
        <v>2877.25</v>
      </c>
      <c r="F15" s="256"/>
      <c r="G15" s="256"/>
      <c r="H15" s="242"/>
      <c r="I15" s="202">
        <f>315.76171+1292.95928</f>
        <v>1608.72099</v>
      </c>
      <c r="J15" s="125"/>
      <c r="K15" s="72">
        <v>202.095</v>
      </c>
      <c r="L15" s="202">
        <v>202.09504</v>
      </c>
      <c r="M15" s="21"/>
    </row>
    <row r="16" spans="1:13" s="1" customFormat="1" ht="45">
      <c r="A16" s="265"/>
      <c r="B16" s="166" t="s">
        <v>58</v>
      </c>
      <c r="C16" s="107">
        <v>25000</v>
      </c>
      <c r="D16" s="88">
        <v>15668</v>
      </c>
      <c r="E16" s="88">
        <v>15668</v>
      </c>
      <c r="F16" s="247" t="s">
        <v>61</v>
      </c>
      <c r="G16" s="247" t="s">
        <v>65</v>
      </c>
      <c r="H16" s="240" t="s">
        <v>36</v>
      </c>
      <c r="I16" s="194">
        <v>5638.00649</v>
      </c>
      <c r="J16" s="56"/>
      <c r="K16" s="69">
        <f>K17+K18</f>
        <v>0</v>
      </c>
      <c r="L16" s="134">
        <f>L17+L18</f>
        <v>0</v>
      </c>
      <c r="M16" s="21"/>
    </row>
    <row r="17" spans="1:13" s="1" customFormat="1" ht="12.75">
      <c r="A17" s="265"/>
      <c r="B17" s="39" t="s">
        <v>57</v>
      </c>
      <c r="C17" s="92">
        <v>21250</v>
      </c>
      <c r="D17" s="110">
        <v>13318</v>
      </c>
      <c r="E17" s="110">
        <v>13318</v>
      </c>
      <c r="F17" s="248"/>
      <c r="G17" s="248"/>
      <c r="H17" s="241"/>
      <c r="I17" s="195">
        <v>4228.50487</v>
      </c>
      <c r="J17" s="85"/>
      <c r="K17" s="70">
        <v>0</v>
      </c>
      <c r="L17" s="140">
        <v>0</v>
      </c>
      <c r="M17" s="21"/>
    </row>
    <row r="18" spans="1:13" s="1" customFormat="1" ht="13.5" thickBot="1">
      <c r="A18" s="265"/>
      <c r="B18" s="42" t="s">
        <v>56</v>
      </c>
      <c r="C18" s="93">
        <v>3750</v>
      </c>
      <c r="D18" s="111">
        <v>2350</v>
      </c>
      <c r="E18" s="111">
        <v>2350</v>
      </c>
      <c r="F18" s="256"/>
      <c r="G18" s="256"/>
      <c r="H18" s="242"/>
      <c r="I18" s="196">
        <f>1409.50162-0.001</f>
        <v>1409.50062</v>
      </c>
      <c r="J18" s="86"/>
      <c r="K18" s="72">
        <v>0</v>
      </c>
      <c r="L18" s="141">
        <v>0</v>
      </c>
      <c r="M18" s="21"/>
    </row>
    <row r="19" spans="1:13" s="1" customFormat="1" ht="45">
      <c r="A19" s="265"/>
      <c r="B19" s="166" t="s">
        <v>59</v>
      </c>
      <c r="C19" s="107">
        <v>14802</v>
      </c>
      <c r="D19" s="88">
        <f>2997+8885</f>
        <v>11882</v>
      </c>
      <c r="E19" s="88">
        <f>2997+8885</f>
        <v>11882</v>
      </c>
      <c r="F19" s="247" t="s">
        <v>61</v>
      </c>
      <c r="G19" s="260" t="s">
        <v>65</v>
      </c>
      <c r="H19" s="241" t="s">
        <v>36</v>
      </c>
      <c r="I19" s="194">
        <v>2994.1906</v>
      </c>
      <c r="J19" s="56"/>
      <c r="K19" s="69">
        <v>0</v>
      </c>
      <c r="L19" s="134">
        <v>0</v>
      </c>
      <c r="M19" s="21"/>
    </row>
    <row r="20" spans="1:13" s="1" customFormat="1" ht="12.75">
      <c r="A20" s="265"/>
      <c r="B20" s="39" t="s">
        <v>57</v>
      </c>
      <c r="C20" s="92">
        <v>12582</v>
      </c>
      <c r="D20" s="110">
        <f>2248+7552.25</f>
        <v>9800.25</v>
      </c>
      <c r="E20" s="110">
        <f>2248+7552.25</f>
        <v>9800.25</v>
      </c>
      <c r="F20" s="248"/>
      <c r="G20" s="248"/>
      <c r="H20" s="241"/>
      <c r="I20" s="195">
        <f>0.75*I19</f>
        <v>2245.64295</v>
      </c>
      <c r="J20" s="85"/>
      <c r="K20" s="70">
        <v>0</v>
      </c>
      <c r="L20" s="140">
        <v>0</v>
      </c>
      <c r="M20" s="21"/>
    </row>
    <row r="21" spans="1:13" s="1" customFormat="1" ht="13.5" thickBot="1">
      <c r="A21" s="265"/>
      <c r="B21" s="42" t="s">
        <v>56</v>
      </c>
      <c r="C21" s="93">
        <v>2220</v>
      </c>
      <c r="D21" s="111">
        <f>749+1332.75</f>
        <v>2081.75</v>
      </c>
      <c r="E21" s="111">
        <f>749+1332.75</f>
        <v>2081.75</v>
      </c>
      <c r="F21" s="256"/>
      <c r="G21" s="256"/>
      <c r="H21" s="242"/>
      <c r="I21" s="196">
        <f>0.25*I19</f>
        <v>748.54765</v>
      </c>
      <c r="J21" s="86"/>
      <c r="K21" s="72">
        <v>0</v>
      </c>
      <c r="L21" s="141">
        <v>0</v>
      </c>
      <c r="M21" s="21"/>
    </row>
    <row r="22" spans="1:13" s="1" customFormat="1" ht="33.75">
      <c r="A22" s="265"/>
      <c r="B22" s="105" t="s">
        <v>60</v>
      </c>
      <c r="C22" s="91">
        <v>10293</v>
      </c>
      <c r="D22" s="88">
        <f>6004779.9/1000</f>
        <v>6004.7799</v>
      </c>
      <c r="E22" s="88">
        <f>5127+1114</f>
        <v>6241</v>
      </c>
      <c r="F22" s="250" t="s">
        <v>61</v>
      </c>
      <c r="G22" s="247" t="s">
        <v>64</v>
      </c>
      <c r="H22" s="238" t="s">
        <v>36</v>
      </c>
      <c r="I22" s="199">
        <f>SUM(I23:I25)</f>
        <v>4385.81336</v>
      </c>
      <c r="J22" s="56"/>
      <c r="K22" s="69">
        <v>0</v>
      </c>
      <c r="L22" s="134">
        <v>0</v>
      </c>
      <c r="M22" s="21"/>
    </row>
    <row r="23" spans="1:13" s="1" customFormat="1" ht="12.75">
      <c r="A23" s="265"/>
      <c r="B23" s="39" t="s">
        <v>57</v>
      </c>
      <c r="C23" s="92">
        <v>8749</v>
      </c>
      <c r="D23" s="110">
        <f>D22*85%</f>
        <v>5104.062915</v>
      </c>
      <c r="E23" s="110">
        <f>3112+946.9</f>
        <v>4058.9</v>
      </c>
      <c r="F23" s="248"/>
      <c r="G23" s="248"/>
      <c r="H23" s="239"/>
      <c r="I23" s="198">
        <v>3111.93</v>
      </c>
      <c r="J23" s="85"/>
      <c r="K23" s="70">
        <v>0</v>
      </c>
      <c r="L23" s="140">
        <v>0</v>
      </c>
      <c r="M23" s="21"/>
    </row>
    <row r="24" spans="1:13" s="1" customFormat="1" ht="12.75">
      <c r="A24" s="265"/>
      <c r="B24" s="106" t="s">
        <v>56</v>
      </c>
      <c r="C24" s="94">
        <v>1544</v>
      </c>
      <c r="D24" s="112">
        <f>D22*15%</f>
        <v>900.716985</v>
      </c>
      <c r="E24" s="112">
        <f>1037+167.1</f>
        <v>1204.1</v>
      </c>
      <c r="F24" s="248"/>
      <c r="G24" s="248"/>
      <c r="H24" s="239"/>
      <c r="I24" s="200">
        <v>1037.31</v>
      </c>
      <c r="J24" s="122"/>
      <c r="K24" s="71">
        <v>0</v>
      </c>
      <c r="L24" s="142">
        <v>0</v>
      </c>
      <c r="M24" s="21"/>
    </row>
    <row r="25" spans="1:13" s="1" customFormat="1" ht="13.5" thickBot="1">
      <c r="A25" s="265"/>
      <c r="B25" s="106" t="s">
        <v>62</v>
      </c>
      <c r="C25" s="94"/>
      <c r="D25" s="112"/>
      <c r="E25" s="112">
        <v>237</v>
      </c>
      <c r="F25" s="249"/>
      <c r="G25" s="249"/>
      <c r="H25" s="239"/>
      <c r="I25" s="200">
        <v>236.57336</v>
      </c>
      <c r="J25" s="122"/>
      <c r="K25" s="71"/>
      <c r="L25" s="142"/>
      <c r="M25" s="21"/>
    </row>
    <row r="26" spans="1:13" s="1" customFormat="1" ht="33.75">
      <c r="A26" s="265"/>
      <c r="B26" s="105" t="s">
        <v>67</v>
      </c>
      <c r="C26" s="153">
        <f>C27+C28+C29</f>
        <v>301369</v>
      </c>
      <c r="D26" s="186">
        <f>D27+D28+D29</f>
        <v>271301.49</v>
      </c>
      <c r="E26" s="186">
        <f>E27+E28+E29</f>
        <v>271301.49</v>
      </c>
      <c r="F26" s="184"/>
      <c r="G26" s="181"/>
      <c r="H26" s="238" t="s">
        <v>36</v>
      </c>
      <c r="I26" s="194">
        <f>SUM(I27:I30)</f>
        <v>93232.51248</v>
      </c>
      <c r="J26" s="154">
        <f>J27+J28+J29+J30</f>
        <v>0</v>
      </c>
      <c r="K26" s="154">
        <f>K27+K28+K29+K30</f>
        <v>74608.51248</v>
      </c>
      <c r="L26" s="194">
        <f>L27+L28+L29+L30</f>
        <v>74608.51248</v>
      </c>
      <c r="M26" s="21"/>
    </row>
    <row r="27" spans="1:13" s="1" customFormat="1" ht="12.75">
      <c r="A27" s="265"/>
      <c r="B27" s="39" t="s">
        <v>68</v>
      </c>
      <c r="C27" s="151">
        <v>190430.6</v>
      </c>
      <c r="D27" s="24">
        <v>190430.6</v>
      </c>
      <c r="E27" s="24">
        <f>D27</f>
        <v>190430.6</v>
      </c>
      <c r="F27" s="188" t="s">
        <v>87</v>
      </c>
      <c r="G27" s="188" t="s">
        <v>88</v>
      </c>
      <c r="H27" s="239"/>
      <c r="I27" s="195">
        <v>61736.78562</v>
      </c>
      <c r="J27" s="152"/>
      <c r="K27" s="152">
        <f>I27</f>
        <v>61736.78562</v>
      </c>
      <c r="L27" s="195">
        <v>61736.78562</v>
      </c>
      <c r="M27" s="21"/>
    </row>
    <row r="28" spans="1:13" s="1" customFormat="1" ht="12.75">
      <c r="A28" s="265"/>
      <c r="B28" s="106" t="s">
        <v>69</v>
      </c>
      <c r="C28" s="151">
        <v>33605.4</v>
      </c>
      <c r="D28" s="24">
        <v>33605.4</v>
      </c>
      <c r="E28" s="24">
        <f>D28</f>
        <v>33605.4</v>
      </c>
      <c r="F28" s="182"/>
      <c r="G28" s="182"/>
      <c r="H28" s="239"/>
      <c r="I28" s="196">
        <v>10894.72686</v>
      </c>
      <c r="J28" s="152"/>
      <c r="K28" s="152">
        <f>I28</f>
        <v>10894.72686</v>
      </c>
      <c r="L28" s="196">
        <v>10894.72686</v>
      </c>
      <c r="M28" s="21"/>
    </row>
    <row r="29" spans="1:13" s="1" customFormat="1" ht="12.75">
      <c r="A29" s="265"/>
      <c r="B29" s="39" t="s">
        <v>70</v>
      </c>
      <c r="C29" s="151">
        <v>77333</v>
      </c>
      <c r="D29" s="24">
        <v>47265.49</v>
      </c>
      <c r="E29" s="24">
        <f>D29</f>
        <v>47265.49</v>
      </c>
      <c r="F29" s="189"/>
      <c r="G29" s="189"/>
      <c r="H29" s="239"/>
      <c r="I29" s="135">
        <v>0</v>
      </c>
      <c r="J29" s="152"/>
      <c r="K29" s="152">
        <v>0</v>
      </c>
      <c r="L29" s="135">
        <f>K29</f>
        <v>0</v>
      </c>
      <c r="M29" s="21"/>
    </row>
    <row r="30" spans="1:13" s="1" customFormat="1" ht="13.5" thickBot="1">
      <c r="A30" s="265"/>
      <c r="B30" s="42" t="s">
        <v>62</v>
      </c>
      <c r="C30" s="157"/>
      <c r="D30" s="185"/>
      <c r="E30" s="185"/>
      <c r="F30" s="233"/>
      <c r="G30" s="233"/>
      <c r="H30" s="251"/>
      <c r="I30" s="230">
        <v>20601</v>
      </c>
      <c r="J30" s="231"/>
      <c r="K30" s="231">
        <v>1977</v>
      </c>
      <c r="L30" s="232">
        <f>K30</f>
        <v>1977</v>
      </c>
      <c r="M30" s="21" t="s">
        <v>77</v>
      </c>
    </row>
    <row r="31" spans="1:13" s="1" customFormat="1" ht="33.75">
      <c r="A31" s="265"/>
      <c r="B31" s="105" t="s">
        <v>71</v>
      </c>
      <c r="C31" s="153">
        <f>C32+C33+C34</f>
        <v>317257.5</v>
      </c>
      <c r="D31" s="186">
        <f>D32+D33+D34</f>
        <v>297453.3</v>
      </c>
      <c r="E31" s="186">
        <f>E32+E33+E34</f>
        <v>297453.3</v>
      </c>
      <c r="F31" s="184"/>
      <c r="G31" s="181"/>
      <c r="H31" s="238" t="s">
        <v>36</v>
      </c>
      <c r="I31" s="194">
        <f>I32+I33+I34+I35</f>
        <v>17084.73905</v>
      </c>
      <c r="J31" s="154">
        <f>J32+J33+J34+J35</f>
        <v>0</v>
      </c>
      <c r="K31" s="161">
        <f>K32+K33+K34+K35</f>
        <v>17084.73905</v>
      </c>
      <c r="L31" s="194">
        <f>L32+L33+L34+L35</f>
        <v>17084.73905</v>
      </c>
      <c r="M31" s="21"/>
    </row>
    <row r="32" spans="1:13" s="1" customFormat="1" ht="12.75">
      <c r="A32" s="265"/>
      <c r="B32" s="39" t="s">
        <v>72</v>
      </c>
      <c r="C32" s="151">
        <v>226122.8</v>
      </c>
      <c r="D32" s="24">
        <v>233139.8</v>
      </c>
      <c r="E32" s="24">
        <f>D32</f>
        <v>233139.8</v>
      </c>
      <c r="F32" s="188"/>
      <c r="G32" s="188"/>
      <c r="H32" s="239"/>
      <c r="I32" s="195">
        <v>14522.02819</v>
      </c>
      <c r="J32" s="152"/>
      <c r="K32" s="70">
        <f>I32</f>
        <v>14522.02819</v>
      </c>
      <c r="L32" s="195">
        <v>14522.02819</v>
      </c>
      <c r="M32" s="21"/>
    </row>
    <row r="33" spans="1:13" s="1" customFormat="1" ht="12.75">
      <c r="A33" s="265"/>
      <c r="B33" s="106" t="s">
        <v>73</v>
      </c>
      <c r="C33" s="151">
        <v>39904</v>
      </c>
      <c r="D33" s="24">
        <v>41142.3</v>
      </c>
      <c r="E33" s="24">
        <f>D33</f>
        <v>41142.3</v>
      </c>
      <c r="F33" s="188" t="s">
        <v>86</v>
      </c>
      <c r="G33" s="188" t="s">
        <v>89</v>
      </c>
      <c r="H33" s="239"/>
      <c r="I33" s="196">
        <v>2562.71086</v>
      </c>
      <c r="J33" s="152"/>
      <c r="K33" s="70">
        <f>I33</f>
        <v>2562.71086</v>
      </c>
      <c r="L33" s="196">
        <v>2562.71086</v>
      </c>
      <c r="M33" s="21"/>
    </row>
    <row r="34" spans="1:13" s="1" customFormat="1" ht="13.5" thickBot="1">
      <c r="A34" s="265"/>
      <c r="B34" s="39" t="s">
        <v>74</v>
      </c>
      <c r="C34" s="151">
        <v>51230.7</v>
      </c>
      <c r="D34" s="24">
        <v>23171.2</v>
      </c>
      <c r="E34" s="24">
        <f>D34</f>
        <v>23171.2</v>
      </c>
      <c r="F34" s="189"/>
      <c r="G34" s="189"/>
      <c r="H34" s="239"/>
      <c r="I34" s="197">
        <v>0</v>
      </c>
      <c r="J34" s="152"/>
      <c r="K34" s="70">
        <v>0</v>
      </c>
      <c r="L34" s="197">
        <f>K34</f>
        <v>0</v>
      </c>
      <c r="M34" s="21"/>
    </row>
    <row r="35" spans="1:13" s="1" customFormat="1" ht="13.5" thickBot="1">
      <c r="A35" s="265"/>
      <c r="B35" s="106" t="s">
        <v>76</v>
      </c>
      <c r="C35" s="162"/>
      <c r="D35" s="61"/>
      <c r="E35" s="61"/>
      <c r="F35" s="189"/>
      <c r="G35" s="189"/>
      <c r="H35" s="239"/>
      <c r="I35" s="163">
        <v>0</v>
      </c>
      <c r="J35" s="164"/>
      <c r="K35" s="71">
        <v>0</v>
      </c>
      <c r="L35" s="142">
        <f>K35</f>
        <v>0</v>
      </c>
      <c r="M35" s="21"/>
    </row>
    <row r="36" spans="1:13" s="1" customFormat="1" ht="12.75">
      <c r="A36" s="265"/>
      <c r="B36" s="165" t="s">
        <v>75</v>
      </c>
      <c r="C36" s="153">
        <f>C37+C38+C39</f>
        <v>137902.9</v>
      </c>
      <c r="D36" s="186">
        <f>D37+D38+D39</f>
        <v>125525.2</v>
      </c>
      <c r="E36" s="186">
        <f>D36</f>
        <v>125525.2</v>
      </c>
      <c r="F36" s="184"/>
      <c r="G36" s="181"/>
      <c r="H36" s="238" t="s">
        <v>36</v>
      </c>
      <c r="I36" s="194">
        <f>I37+I38+I39+I40</f>
        <v>39743.18712</v>
      </c>
      <c r="J36" s="155"/>
      <c r="K36" s="155">
        <f>K37+K38+K39+K40</f>
        <v>40407</v>
      </c>
      <c r="L36" s="194">
        <f>L37+L38+L39+L40</f>
        <v>40407.18712</v>
      </c>
      <c r="M36" s="21"/>
    </row>
    <row r="37" spans="1:13" s="1" customFormat="1" ht="12.75">
      <c r="A37" s="265"/>
      <c r="B37" s="14" t="s">
        <v>78</v>
      </c>
      <c r="C37" s="151">
        <v>51622.6</v>
      </c>
      <c r="D37" s="151">
        <v>51622.6</v>
      </c>
      <c r="E37" s="151">
        <f>D37</f>
        <v>51622.6</v>
      </c>
      <c r="F37" s="188"/>
      <c r="G37" s="188"/>
      <c r="H37" s="239"/>
      <c r="I37" s="195">
        <v>33781.70906</v>
      </c>
      <c r="J37" s="152"/>
      <c r="K37" s="152">
        <v>33782</v>
      </c>
      <c r="L37" s="195">
        <v>33781.70906</v>
      </c>
      <c r="M37" s="21"/>
    </row>
    <row r="38" spans="1:13" s="1" customFormat="1" ht="12.75">
      <c r="A38" s="265"/>
      <c r="B38" s="14" t="s">
        <v>79</v>
      </c>
      <c r="C38" s="151">
        <v>9109.8</v>
      </c>
      <c r="D38" s="151">
        <v>9109.8</v>
      </c>
      <c r="E38" s="151">
        <f>D38</f>
        <v>9109.8</v>
      </c>
      <c r="F38" s="188" t="s">
        <v>47</v>
      </c>
      <c r="G38" s="188" t="s">
        <v>90</v>
      </c>
      <c r="H38" s="239"/>
      <c r="I38" s="196">
        <v>5961.47806</v>
      </c>
      <c r="J38" s="152"/>
      <c r="K38" s="152">
        <v>5961</v>
      </c>
      <c r="L38" s="196">
        <v>5961.47806</v>
      </c>
      <c r="M38" s="237"/>
    </row>
    <row r="39" spans="1:13" s="1" customFormat="1" ht="13.5" thickBot="1">
      <c r="A39" s="265"/>
      <c r="B39" s="4" t="s">
        <v>80</v>
      </c>
      <c r="C39" s="162">
        <v>77170.5</v>
      </c>
      <c r="D39" s="162">
        <v>64792.8</v>
      </c>
      <c r="E39" s="162">
        <f>D39</f>
        <v>64792.8</v>
      </c>
      <c r="F39" s="189"/>
      <c r="G39" s="189"/>
      <c r="H39" s="239"/>
      <c r="I39" s="197">
        <v>0</v>
      </c>
      <c r="J39" s="152"/>
      <c r="K39" s="70">
        <v>0</v>
      </c>
      <c r="L39" s="197">
        <v>0</v>
      </c>
      <c r="M39" s="237"/>
    </row>
    <row r="40" spans="1:13" s="1" customFormat="1" ht="13.5" thickBot="1">
      <c r="A40" s="265"/>
      <c r="B40" s="42" t="s">
        <v>62</v>
      </c>
      <c r="C40" s="157"/>
      <c r="D40" s="157"/>
      <c r="E40" s="157"/>
      <c r="F40" s="189"/>
      <c r="G40" s="189"/>
      <c r="H40" s="239"/>
      <c r="I40" s="201">
        <v>0</v>
      </c>
      <c r="J40" s="158"/>
      <c r="K40" s="158">
        <v>664</v>
      </c>
      <c r="L40" s="159">
        <v>664</v>
      </c>
      <c r="M40" s="237"/>
    </row>
    <row r="41" spans="1:13" s="1" customFormat="1" ht="12.75">
      <c r="A41" s="265"/>
      <c r="B41" s="104" t="s">
        <v>32</v>
      </c>
      <c r="C41" s="102">
        <f>458985/1000</f>
        <v>458.985</v>
      </c>
      <c r="D41" s="78">
        <f>458985/1000</f>
        <v>458.985</v>
      </c>
      <c r="E41" s="78">
        <f>458985/1000</f>
        <v>458.985</v>
      </c>
      <c r="F41" s="250" t="s">
        <v>44</v>
      </c>
      <c r="G41" s="250" t="s">
        <v>45</v>
      </c>
      <c r="H41" s="240" t="s">
        <v>23</v>
      </c>
      <c r="I41" s="194">
        <f>I42+I43</f>
        <v>34.155</v>
      </c>
      <c r="J41" s="126"/>
      <c r="K41" s="73">
        <f>K42+K43</f>
        <v>34</v>
      </c>
      <c r="L41" s="194">
        <f>L42+L43</f>
        <v>-303.16029999999995</v>
      </c>
      <c r="M41" s="237"/>
    </row>
    <row r="42" spans="1:13" s="1" customFormat="1" ht="12.75">
      <c r="A42" s="265"/>
      <c r="B42" s="39" t="s">
        <v>30</v>
      </c>
      <c r="C42" s="96">
        <f>0.85*C41</f>
        <v>390.13725</v>
      </c>
      <c r="D42" s="30">
        <f>0.85*D41</f>
        <v>390.13725</v>
      </c>
      <c r="E42" s="30">
        <f>0.85*E41</f>
        <v>390.13725</v>
      </c>
      <c r="F42" s="248"/>
      <c r="G42" s="248"/>
      <c r="H42" s="241"/>
      <c r="I42" s="195">
        <v>29.03175</v>
      </c>
      <c r="J42" s="85"/>
      <c r="K42" s="70">
        <v>29</v>
      </c>
      <c r="L42" s="195">
        <v>-257.68625</v>
      </c>
      <c r="M42" s="237"/>
    </row>
    <row r="43" spans="1:13" s="1" customFormat="1" ht="13.5" thickBot="1">
      <c r="A43" s="265"/>
      <c r="B43" s="42" t="s">
        <v>31</v>
      </c>
      <c r="C43" s="97">
        <f>0.15*C41</f>
        <v>68.84775</v>
      </c>
      <c r="D43" s="59">
        <f>0.15*D41</f>
        <v>68.84775</v>
      </c>
      <c r="E43" s="59">
        <f>0.15*E41</f>
        <v>68.84775</v>
      </c>
      <c r="F43" s="256"/>
      <c r="G43" s="256"/>
      <c r="H43" s="242"/>
      <c r="I43" s="202">
        <v>5.12325</v>
      </c>
      <c r="J43" s="86"/>
      <c r="K43" s="72">
        <v>5</v>
      </c>
      <c r="L43" s="202">
        <v>-45.47405</v>
      </c>
      <c r="M43" s="237"/>
    </row>
    <row r="44" spans="1:13" s="1" customFormat="1" ht="12.75">
      <c r="A44" s="265"/>
      <c r="B44" s="103" t="s">
        <v>49</v>
      </c>
      <c r="C44" s="95">
        <f>39977000/1000</f>
        <v>39977</v>
      </c>
      <c r="D44" s="113">
        <v>0</v>
      </c>
      <c r="E44" s="143">
        <v>0</v>
      </c>
      <c r="F44" s="250" t="s">
        <v>44</v>
      </c>
      <c r="G44" s="250" t="s">
        <v>45</v>
      </c>
      <c r="H44" s="240" t="s">
        <v>23</v>
      </c>
      <c r="I44" s="98">
        <f>I45+I46</f>
        <v>0</v>
      </c>
      <c r="J44" s="126"/>
      <c r="K44" s="73">
        <f>K45+K46</f>
        <v>0</v>
      </c>
      <c r="L44" s="98">
        <f>L45+L46</f>
        <v>0</v>
      </c>
      <c r="M44" s="21"/>
    </row>
    <row r="45" spans="1:13" s="1" customFormat="1" ht="12.75">
      <c r="A45" s="265"/>
      <c r="B45" s="39" t="s">
        <v>30</v>
      </c>
      <c r="C45" s="96">
        <f>0.85*C44</f>
        <v>33980.45</v>
      </c>
      <c r="D45" s="114">
        <v>0</v>
      </c>
      <c r="E45" s="114">
        <v>0</v>
      </c>
      <c r="F45" s="248"/>
      <c r="G45" s="248"/>
      <c r="H45" s="241"/>
      <c r="I45" s="135">
        <v>0</v>
      </c>
      <c r="J45" s="85"/>
      <c r="K45" s="70">
        <v>0</v>
      </c>
      <c r="L45" s="140">
        <v>0</v>
      </c>
      <c r="M45" s="21"/>
    </row>
    <row r="46" spans="1:13" s="1" customFormat="1" ht="13.5" thickBot="1">
      <c r="A46" s="265"/>
      <c r="B46" s="42" t="s">
        <v>31</v>
      </c>
      <c r="C46" s="101">
        <f>0.15*C44</f>
        <v>5996.55</v>
      </c>
      <c r="D46" s="144">
        <v>0</v>
      </c>
      <c r="E46" s="144">
        <v>0</v>
      </c>
      <c r="F46" s="256"/>
      <c r="G46" s="256"/>
      <c r="H46" s="242"/>
      <c r="I46" s="136">
        <v>0</v>
      </c>
      <c r="J46" s="122"/>
      <c r="K46" s="71">
        <v>0</v>
      </c>
      <c r="L46" s="142">
        <v>0</v>
      </c>
      <c r="M46" s="21"/>
    </row>
    <row r="47" spans="1:13" s="1" customFormat="1" ht="22.5">
      <c r="A47" s="265"/>
      <c r="B47" s="166" t="s">
        <v>81</v>
      </c>
      <c r="C47" s="169">
        <f>C48+C49</f>
        <v>407</v>
      </c>
      <c r="D47" s="186">
        <f>D48+D49</f>
        <v>404.915</v>
      </c>
      <c r="E47" s="186">
        <f>E48+E49</f>
        <v>404.915</v>
      </c>
      <c r="F47" s="170"/>
      <c r="G47" s="170"/>
      <c r="H47" s="240" t="s">
        <v>36</v>
      </c>
      <c r="I47" s="194">
        <f>I48+I49</f>
        <v>284.4534</v>
      </c>
      <c r="J47" s="171">
        <f>J48+J49</f>
        <v>0</v>
      </c>
      <c r="K47" s="171">
        <f>K48+K49</f>
        <v>285</v>
      </c>
      <c r="L47" s="194">
        <f>L48+L49</f>
        <v>284.4534</v>
      </c>
      <c r="M47" s="21"/>
    </row>
    <row r="48" spans="1:13" s="1" customFormat="1" ht="12.75">
      <c r="A48" s="265"/>
      <c r="B48" s="39" t="s">
        <v>30</v>
      </c>
      <c r="C48" s="172">
        <v>345.95</v>
      </c>
      <c r="D48" s="24">
        <v>344.178</v>
      </c>
      <c r="E48" s="24">
        <f>D48</f>
        <v>344.178</v>
      </c>
      <c r="F48" s="7"/>
      <c r="G48" s="7"/>
      <c r="H48" s="241"/>
      <c r="I48" s="195">
        <v>241.78539</v>
      </c>
      <c r="J48" s="152"/>
      <c r="K48" s="152">
        <v>242</v>
      </c>
      <c r="L48" s="195">
        <v>241.78539</v>
      </c>
      <c r="M48" s="21"/>
    </row>
    <row r="49" spans="1:13" s="1" customFormat="1" ht="13.5" thickBot="1">
      <c r="A49" s="265"/>
      <c r="B49" s="42" t="s">
        <v>31</v>
      </c>
      <c r="C49" s="173">
        <v>61.05</v>
      </c>
      <c r="D49" s="185">
        <v>60.737</v>
      </c>
      <c r="E49" s="185">
        <f>D49</f>
        <v>60.737</v>
      </c>
      <c r="F49" s="174"/>
      <c r="G49" s="174"/>
      <c r="H49" s="242"/>
      <c r="I49" s="202">
        <v>42.66801</v>
      </c>
      <c r="J49" s="158"/>
      <c r="K49" s="158">
        <v>43</v>
      </c>
      <c r="L49" s="202">
        <v>42.66801</v>
      </c>
      <c r="M49" s="21"/>
    </row>
    <row r="50" spans="1:13" s="1" customFormat="1" ht="22.5">
      <c r="A50" s="265"/>
      <c r="B50" s="166" t="s">
        <v>82</v>
      </c>
      <c r="C50" s="192">
        <f>411000/1000</f>
        <v>411</v>
      </c>
      <c r="D50" s="193">
        <f>407936/1000</f>
        <v>407.936</v>
      </c>
      <c r="E50" s="193">
        <f>407936/1000</f>
        <v>407.936</v>
      </c>
      <c r="F50" s="184" t="s">
        <v>86</v>
      </c>
      <c r="G50" s="181" t="s">
        <v>53</v>
      </c>
      <c r="H50" s="240" t="s">
        <v>36</v>
      </c>
      <c r="I50" s="171">
        <f>I51+I52</f>
        <v>0</v>
      </c>
      <c r="J50" s="171">
        <f>J51+J52</f>
        <v>0</v>
      </c>
      <c r="K50" s="171">
        <f>K51+K52</f>
        <v>0</v>
      </c>
      <c r="L50" s="160">
        <f>L51+L52</f>
        <v>0</v>
      </c>
      <c r="M50" s="21"/>
    </row>
    <row r="51" spans="1:13" s="1" customFormat="1" ht="12.75">
      <c r="A51" s="265"/>
      <c r="B51" s="39" t="s">
        <v>30</v>
      </c>
      <c r="C51" s="96">
        <f>0.85*C50</f>
        <v>349.34999999999997</v>
      </c>
      <c r="D51" s="30">
        <f>0.85*D50</f>
        <v>346.74559999999997</v>
      </c>
      <c r="E51" s="30">
        <f>0.85*E50</f>
        <v>346.74559999999997</v>
      </c>
      <c r="F51" s="182"/>
      <c r="G51" s="182"/>
      <c r="H51" s="241"/>
      <c r="I51" s="168">
        <v>0</v>
      </c>
      <c r="J51" s="152"/>
      <c r="K51" s="152">
        <v>0</v>
      </c>
      <c r="L51" s="156">
        <f>K51</f>
        <v>0</v>
      </c>
      <c r="M51" s="21"/>
    </row>
    <row r="52" spans="1:13" s="1" customFormat="1" ht="13.5" thickBot="1">
      <c r="A52" s="265"/>
      <c r="B52" s="42" t="s">
        <v>31</v>
      </c>
      <c r="C52" s="101">
        <f>0.15*C50</f>
        <v>61.65</v>
      </c>
      <c r="D52" s="59">
        <f>0.15*D50</f>
        <v>61.1904</v>
      </c>
      <c r="E52" s="59">
        <f>0.15*E50</f>
        <v>61.1904</v>
      </c>
      <c r="F52" s="183"/>
      <c r="G52" s="183"/>
      <c r="H52" s="242"/>
      <c r="I52" s="175">
        <v>0</v>
      </c>
      <c r="J52" s="158"/>
      <c r="K52" s="158">
        <v>0</v>
      </c>
      <c r="L52" s="159">
        <f>K52</f>
        <v>0</v>
      </c>
      <c r="M52" s="21"/>
    </row>
    <row r="53" spans="1:13" s="1" customFormat="1" ht="22.5">
      <c r="A53" s="265"/>
      <c r="B53" s="166" t="s">
        <v>83</v>
      </c>
      <c r="C53" s="169">
        <v>410</v>
      </c>
      <c r="D53" s="186">
        <v>410</v>
      </c>
      <c r="E53" s="186">
        <f>D53</f>
        <v>410</v>
      </c>
      <c r="F53" s="190" t="s">
        <v>91</v>
      </c>
      <c r="G53" s="190" t="s">
        <v>92</v>
      </c>
      <c r="H53" s="252" t="s">
        <v>36</v>
      </c>
      <c r="I53" s="194">
        <f>I54+I55</f>
        <v>211.79039</v>
      </c>
      <c r="J53" s="171">
        <f>J54+J55</f>
        <v>0</v>
      </c>
      <c r="K53" s="171">
        <f>K54+K55</f>
        <v>212</v>
      </c>
      <c r="L53" s="194">
        <f>L54+L55</f>
        <v>211.79039</v>
      </c>
      <c r="M53" s="21"/>
    </row>
    <row r="54" spans="1:13" s="1" customFormat="1" ht="12.75">
      <c r="A54" s="265"/>
      <c r="B54" s="39" t="s">
        <v>30</v>
      </c>
      <c r="C54" s="24">
        <f>0.85*C53</f>
        <v>348.5</v>
      </c>
      <c r="D54" s="24">
        <f>0.85*D53</f>
        <v>348.5</v>
      </c>
      <c r="E54" s="24">
        <f>D54</f>
        <v>348.5</v>
      </c>
      <c r="F54" s="187"/>
      <c r="G54" s="187"/>
      <c r="H54" s="253"/>
      <c r="I54" s="195">
        <v>180.02183</v>
      </c>
      <c r="J54" s="152"/>
      <c r="K54" s="152">
        <v>180</v>
      </c>
      <c r="L54" s="195">
        <v>180.02183</v>
      </c>
      <c r="M54" s="21"/>
    </row>
    <row r="55" spans="1:13" s="1" customFormat="1" ht="13.5" thickBot="1">
      <c r="A55" s="265"/>
      <c r="B55" s="42" t="s">
        <v>31</v>
      </c>
      <c r="C55" s="185">
        <f>0.15*C53</f>
        <v>61.5</v>
      </c>
      <c r="D55" s="185">
        <f>0.15*D53</f>
        <v>61.5</v>
      </c>
      <c r="E55" s="185">
        <f>D55</f>
        <v>61.5</v>
      </c>
      <c r="F55" s="191"/>
      <c r="G55" s="191"/>
      <c r="H55" s="254"/>
      <c r="I55" s="202">
        <v>31.76856</v>
      </c>
      <c r="J55" s="158"/>
      <c r="K55" s="158">
        <v>32</v>
      </c>
      <c r="L55" s="202">
        <v>31.76856</v>
      </c>
      <c r="M55" s="21"/>
    </row>
    <row r="56" spans="1:13" s="1" customFormat="1" ht="12.75">
      <c r="A56" s="265"/>
      <c r="B56" s="104" t="s">
        <v>33</v>
      </c>
      <c r="C56" s="102">
        <f>121500/1000</f>
        <v>121.5</v>
      </c>
      <c r="D56" s="78">
        <f>121500/1000</f>
        <v>121.5</v>
      </c>
      <c r="E56" s="78">
        <f>121500/1000</f>
        <v>121.5</v>
      </c>
      <c r="F56" s="255" t="s">
        <v>43</v>
      </c>
      <c r="G56" s="255" t="s">
        <v>46</v>
      </c>
      <c r="H56" s="246" t="s">
        <v>23</v>
      </c>
      <c r="I56" s="194">
        <f>I57+I58</f>
        <v>121.5</v>
      </c>
      <c r="J56" s="167"/>
      <c r="K56" s="73">
        <f>K57+K58</f>
        <v>1.669</v>
      </c>
      <c r="L56" s="194">
        <f>L57+L58</f>
        <v>1.66995</v>
      </c>
      <c r="M56" s="21"/>
    </row>
    <row r="57" spans="1:13" s="1" customFormat="1" ht="12.75">
      <c r="A57" s="265"/>
      <c r="B57" s="39" t="s">
        <v>30</v>
      </c>
      <c r="C57" s="96">
        <v>103.275</v>
      </c>
      <c r="D57" s="30">
        <f>0.85*D56</f>
        <v>103.27499999999999</v>
      </c>
      <c r="E57" s="30">
        <f>0.85*E56</f>
        <v>103.27499999999999</v>
      </c>
      <c r="F57" s="255"/>
      <c r="G57" s="255"/>
      <c r="H57" s="246"/>
      <c r="I57" s="195">
        <f>(101855.54+1419.46)/1000</f>
        <v>103.275</v>
      </c>
      <c r="J57" s="124"/>
      <c r="K57" s="70">
        <f>1419/1000</f>
        <v>1.419</v>
      </c>
      <c r="L57" s="195">
        <v>1.41946</v>
      </c>
      <c r="M57" s="21"/>
    </row>
    <row r="58" spans="1:13" s="1" customFormat="1" ht="13.5" thickBot="1">
      <c r="A58" s="265"/>
      <c r="B58" s="42" t="s">
        <v>31</v>
      </c>
      <c r="C58" s="97">
        <v>18.225</v>
      </c>
      <c r="D58" s="30">
        <f>0.15*D56</f>
        <v>18.224999999999998</v>
      </c>
      <c r="E58" s="30">
        <f>0.15*E56</f>
        <v>18.224999999999998</v>
      </c>
      <c r="F58" s="255"/>
      <c r="G58" s="255"/>
      <c r="H58" s="246"/>
      <c r="I58" s="202">
        <f>(17974.51+250.49)/1000</f>
        <v>18.225</v>
      </c>
      <c r="J58" s="127"/>
      <c r="K58" s="71">
        <f>250/1000</f>
        <v>0.25</v>
      </c>
      <c r="L58" s="202">
        <v>0.25049</v>
      </c>
      <c r="M58" s="21"/>
    </row>
    <row r="59" spans="1:13" s="1" customFormat="1" ht="22.5">
      <c r="A59" s="265"/>
      <c r="B59" s="103" t="s">
        <v>34</v>
      </c>
      <c r="C59" s="95">
        <f>125600/1000</f>
        <v>125.6</v>
      </c>
      <c r="D59" s="58">
        <f>125600/1000</f>
        <v>125.6</v>
      </c>
      <c r="E59" s="58">
        <f>125600/1000</f>
        <v>125.6</v>
      </c>
      <c r="F59" s="257" t="s">
        <v>46</v>
      </c>
      <c r="G59" s="257" t="s">
        <v>48</v>
      </c>
      <c r="H59" s="240" t="s">
        <v>36</v>
      </c>
      <c r="I59" s="194">
        <f>I60+I61</f>
        <v>125.60000000000001</v>
      </c>
      <c r="J59" s="123"/>
      <c r="K59" s="69">
        <f>K60+K61</f>
        <v>125.60000000000001</v>
      </c>
      <c r="L59" s="194">
        <f>L60+L61</f>
        <v>125.60000000000001</v>
      </c>
      <c r="M59" s="21"/>
    </row>
    <row r="60" spans="1:13" s="1" customFormat="1" ht="12.75">
      <c r="A60" s="265"/>
      <c r="B60" s="39" t="s">
        <v>30</v>
      </c>
      <c r="C60" s="96">
        <v>106.76</v>
      </c>
      <c r="D60" s="30">
        <f>0.85*D59</f>
        <v>106.75999999999999</v>
      </c>
      <c r="E60" s="30">
        <f>0.85*E59</f>
        <v>106.75999999999999</v>
      </c>
      <c r="F60" s="255"/>
      <c r="G60" s="255"/>
      <c r="H60" s="241"/>
      <c r="I60" s="195">
        <v>106.76</v>
      </c>
      <c r="J60" s="124"/>
      <c r="K60" s="70">
        <v>106.76</v>
      </c>
      <c r="L60" s="195">
        <f>K60</f>
        <v>106.76</v>
      </c>
      <c r="M60" s="21"/>
    </row>
    <row r="61" spans="1:13" s="1" customFormat="1" ht="13.5" thickBot="1">
      <c r="A61" s="265"/>
      <c r="B61" s="42" t="s">
        <v>31</v>
      </c>
      <c r="C61" s="97">
        <v>18.84</v>
      </c>
      <c r="D61" s="59">
        <f>0.15*D59</f>
        <v>18.84</v>
      </c>
      <c r="E61" s="59">
        <f>0.15*E59</f>
        <v>18.84</v>
      </c>
      <c r="F61" s="258"/>
      <c r="G61" s="258"/>
      <c r="H61" s="242"/>
      <c r="I61" s="202">
        <v>18.84</v>
      </c>
      <c r="J61" s="125"/>
      <c r="K61" s="72">
        <v>18.84</v>
      </c>
      <c r="L61" s="202">
        <f>K61</f>
        <v>18.84</v>
      </c>
      <c r="M61" s="21"/>
    </row>
    <row r="62" spans="1:13" s="1" customFormat="1" ht="12.75">
      <c r="A62" s="265"/>
      <c r="B62" s="103" t="s">
        <v>35</v>
      </c>
      <c r="C62" s="95">
        <f>161098/1000</f>
        <v>161.098</v>
      </c>
      <c r="D62" s="58">
        <f>161097.4/1000</f>
        <v>161.0974</v>
      </c>
      <c r="E62" s="58">
        <f>161097.4/1000</f>
        <v>161.0974</v>
      </c>
      <c r="F62" s="250" t="s">
        <v>44</v>
      </c>
      <c r="G62" s="250" t="s">
        <v>47</v>
      </c>
      <c r="H62" s="240" t="s">
        <v>36</v>
      </c>
      <c r="I62" s="194">
        <f>I63+I64</f>
        <v>161.098</v>
      </c>
      <c r="J62" s="123"/>
      <c r="K62" s="69">
        <f>K63+K64</f>
        <v>48.33</v>
      </c>
      <c r="L62" s="194">
        <f>L63+L64</f>
        <v>48.3294</v>
      </c>
      <c r="M62" s="21"/>
    </row>
    <row r="63" spans="1:13" s="1" customFormat="1" ht="12.75">
      <c r="A63" s="265"/>
      <c r="B63" s="39" t="s">
        <v>30</v>
      </c>
      <c r="C63" s="96">
        <v>136.933</v>
      </c>
      <c r="D63" s="30">
        <f>0.85*D62</f>
        <v>136.93278999999998</v>
      </c>
      <c r="E63" s="30">
        <f>0.85*E62</f>
        <v>136.93278999999998</v>
      </c>
      <c r="F63" s="248"/>
      <c r="G63" s="248"/>
      <c r="H63" s="241"/>
      <c r="I63" s="195">
        <f>136.9333</f>
        <v>136.9333</v>
      </c>
      <c r="J63" s="124"/>
      <c r="K63" s="70">
        <v>41.08</v>
      </c>
      <c r="L63" s="195">
        <v>41.07999</v>
      </c>
      <c r="M63" s="21"/>
    </row>
    <row r="64" spans="1:13" s="1" customFormat="1" ht="13.5" thickBot="1">
      <c r="A64" s="265"/>
      <c r="B64" s="42" t="s">
        <v>31</v>
      </c>
      <c r="C64" s="97">
        <v>24.165</v>
      </c>
      <c r="D64" s="59">
        <f>0.15*D62</f>
        <v>24.16461</v>
      </c>
      <c r="E64" s="59">
        <f>0.15*E62</f>
        <v>24.16461</v>
      </c>
      <c r="F64" s="256"/>
      <c r="G64" s="256"/>
      <c r="H64" s="242"/>
      <c r="I64" s="202">
        <v>24.1647</v>
      </c>
      <c r="J64" s="125"/>
      <c r="K64" s="72">
        <v>7.25</v>
      </c>
      <c r="L64" s="202">
        <v>7.24941</v>
      </c>
      <c r="M64" s="21"/>
    </row>
    <row r="65" spans="1:13" s="1" customFormat="1" ht="33.75">
      <c r="A65" s="294" t="s">
        <v>14</v>
      </c>
      <c r="B65" s="77" t="s">
        <v>10</v>
      </c>
      <c r="C65" s="99">
        <f>116859000/1000</f>
        <v>116859</v>
      </c>
      <c r="D65" s="115">
        <f>144146104.36/1000</f>
        <v>144146.10436000003</v>
      </c>
      <c r="E65" s="115">
        <f>155227289.53/1000</f>
        <v>155227.28953</v>
      </c>
      <c r="F65" s="250" t="s">
        <v>11</v>
      </c>
      <c r="G65" s="247" t="s">
        <v>46</v>
      </c>
      <c r="H65" s="240" t="s">
        <v>23</v>
      </c>
      <c r="I65" s="194">
        <f>I66+I67+I68</f>
        <v>166895.08187</v>
      </c>
      <c r="J65" s="128">
        <v>0</v>
      </c>
      <c r="K65" s="69">
        <v>0</v>
      </c>
      <c r="L65" s="137">
        <f>SUM(L66:L68)</f>
        <v>0</v>
      </c>
      <c r="M65" s="21"/>
    </row>
    <row r="66" spans="1:13" s="1" customFormat="1" ht="12.75">
      <c r="A66" s="295"/>
      <c r="B66" s="39" t="s">
        <v>12</v>
      </c>
      <c r="C66" s="96">
        <f>0.5*C65</f>
        <v>58429.5</v>
      </c>
      <c r="D66" s="30">
        <f>58429500/1000</f>
        <v>58429.5</v>
      </c>
      <c r="E66" s="30">
        <f>58429500/1000</f>
        <v>58429.5</v>
      </c>
      <c r="F66" s="248"/>
      <c r="G66" s="248"/>
      <c r="H66" s="241"/>
      <c r="I66" s="195">
        <v>58429.5</v>
      </c>
      <c r="J66" s="129">
        <v>0</v>
      </c>
      <c r="K66" s="76">
        <v>0</v>
      </c>
      <c r="L66" s="140">
        <v>0</v>
      </c>
      <c r="M66" s="21"/>
    </row>
    <row r="67" spans="1:13" s="1" customFormat="1" ht="13.5" thickBot="1">
      <c r="A67" s="295"/>
      <c r="B67" s="39" t="s">
        <v>13</v>
      </c>
      <c r="C67" s="96">
        <f>0.5*C65</f>
        <v>58429.5</v>
      </c>
      <c r="D67" s="30">
        <f>58429500/1000</f>
        <v>58429.5</v>
      </c>
      <c r="E67" s="30">
        <f>58429500/1000</f>
        <v>58429.5</v>
      </c>
      <c r="F67" s="248"/>
      <c r="G67" s="248"/>
      <c r="H67" s="241"/>
      <c r="I67" s="202">
        <f>58429500/1000</f>
        <v>58429.5</v>
      </c>
      <c r="J67" s="129">
        <v>0</v>
      </c>
      <c r="K67" s="76">
        <v>0</v>
      </c>
      <c r="L67" s="140">
        <v>0</v>
      </c>
      <c r="M67" s="21"/>
    </row>
    <row r="68" spans="1:13" s="1" customFormat="1" ht="13.5" thickBot="1">
      <c r="A68" s="295"/>
      <c r="B68" s="39" t="s">
        <v>37</v>
      </c>
      <c r="C68" s="96"/>
      <c r="D68" s="30">
        <f>D65-C65</f>
        <v>27287.104360000027</v>
      </c>
      <c r="E68" s="30">
        <v>50036</v>
      </c>
      <c r="F68" s="282"/>
      <c r="G68" s="282"/>
      <c r="H68" s="266"/>
      <c r="I68" s="194">
        <f>(50036081.87)/1000</f>
        <v>50036.081869999995</v>
      </c>
      <c r="J68" s="129">
        <v>0</v>
      </c>
      <c r="K68" s="76">
        <v>0</v>
      </c>
      <c r="L68" s="98">
        <v>0</v>
      </c>
      <c r="M68" s="21"/>
    </row>
    <row r="69" spans="1:13" s="1" customFormat="1" ht="22.5" customHeight="1">
      <c r="A69" s="295"/>
      <c r="B69" s="75" t="s">
        <v>38</v>
      </c>
      <c r="C69" s="108">
        <f>SUM(C70:C71)</f>
        <v>600</v>
      </c>
      <c r="D69" s="115">
        <f>500427.8/1000</f>
        <v>500.4278</v>
      </c>
      <c r="E69" s="115">
        <f>500427.8/1000</f>
        <v>500.4278</v>
      </c>
      <c r="F69" s="250" t="s">
        <v>54</v>
      </c>
      <c r="G69" s="247" t="s">
        <v>55</v>
      </c>
      <c r="H69" s="277" t="s">
        <v>36</v>
      </c>
      <c r="I69" s="194">
        <f>I70+I71+I75+I76</f>
        <v>910.1424999999999</v>
      </c>
      <c r="J69" s="128"/>
      <c r="K69" s="69">
        <v>0</v>
      </c>
      <c r="L69" s="194">
        <f>L70+L71+L75+L76</f>
        <v>589.4989999999999</v>
      </c>
      <c r="M69" s="21"/>
    </row>
    <row r="70" spans="1:13" s="1" customFormat="1" ht="12.75" customHeight="1">
      <c r="A70" s="295"/>
      <c r="B70" s="39" t="s">
        <v>50</v>
      </c>
      <c r="C70" s="96">
        <v>450</v>
      </c>
      <c r="D70" s="30">
        <f>0.75*D69</f>
        <v>375.32085</v>
      </c>
      <c r="E70" s="30">
        <f>0.75*E69</f>
        <v>375.32085</v>
      </c>
      <c r="F70" s="248"/>
      <c r="G70" s="248"/>
      <c r="H70" s="278"/>
      <c r="I70" s="195">
        <v>380.57273</v>
      </c>
      <c r="J70" s="129"/>
      <c r="K70" s="76">
        <v>0</v>
      </c>
      <c r="L70" s="195">
        <v>140.09011</v>
      </c>
      <c r="M70" s="21"/>
    </row>
    <row r="71" spans="1:13" s="1" customFormat="1" ht="13.5" customHeight="1">
      <c r="A71" s="296"/>
      <c r="B71" s="39" t="s">
        <v>9</v>
      </c>
      <c r="C71" s="96">
        <v>150</v>
      </c>
      <c r="D71" s="30">
        <f>0.25*D69</f>
        <v>125.10695</v>
      </c>
      <c r="E71" s="30">
        <f>0.25*E69</f>
        <v>125.10695</v>
      </c>
      <c r="F71" s="259"/>
      <c r="G71" s="259"/>
      <c r="H71" s="279"/>
      <c r="I71" s="195">
        <v>217.74856</v>
      </c>
      <c r="J71" s="129"/>
      <c r="K71" s="76">
        <v>0</v>
      </c>
      <c r="L71" s="195">
        <v>137.58768</v>
      </c>
      <c r="M71" s="21"/>
    </row>
    <row r="72" spans="1:14" s="54" customFormat="1" ht="13.5" customHeight="1" hidden="1" thickBot="1">
      <c r="A72" s="261"/>
      <c r="B72" s="43" t="s">
        <v>16</v>
      </c>
      <c r="C72" s="100"/>
      <c r="D72" s="116"/>
      <c r="E72" s="145"/>
      <c r="F72" s="119"/>
      <c r="G72" s="119"/>
      <c r="H72" s="146"/>
      <c r="I72" s="203" t="e">
        <f>I66+#REF!</f>
        <v>#REF!</v>
      </c>
      <c r="J72" s="131" t="e">
        <f>J66+#REF!</f>
        <v>#REF!</v>
      </c>
      <c r="K72" s="81"/>
      <c r="L72" s="203" t="e">
        <f>SUM(#REF!/30.126)</f>
        <v>#REF!</v>
      </c>
      <c r="M72" s="21"/>
      <c r="N72" s="1"/>
    </row>
    <row r="73" spans="1:14" s="54" customFormat="1" ht="13.5" customHeight="1" hidden="1">
      <c r="A73" s="262"/>
      <c r="B73" s="79" t="s">
        <v>17</v>
      </c>
      <c r="C73" s="96"/>
      <c r="D73" s="30"/>
      <c r="E73" s="114"/>
      <c r="F73" s="120"/>
      <c r="G73" s="120"/>
      <c r="H73" s="147"/>
      <c r="I73" s="194" t="e">
        <f>I67+#REF!</f>
        <v>#REF!</v>
      </c>
      <c r="J73" s="132" t="e">
        <f>J67+#REF!</f>
        <v>#REF!</v>
      </c>
      <c r="K73" s="82"/>
      <c r="L73" s="194" t="e">
        <f>SUM(#REF!/30.126)</f>
        <v>#REF!</v>
      </c>
      <c r="M73" s="21"/>
      <c r="N73" s="1"/>
    </row>
    <row r="74" spans="1:14" s="54" customFormat="1" ht="13.5" customHeight="1" hidden="1">
      <c r="A74" s="262"/>
      <c r="B74" s="66" t="s">
        <v>18</v>
      </c>
      <c r="C74" s="101"/>
      <c r="D74" s="117"/>
      <c r="E74" s="144"/>
      <c r="F74" s="121"/>
      <c r="G74" s="121"/>
      <c r="H74" s="148"/>
      <c r="I74" s="196" t="e">
        <f>I68+#REF!</f>
        <v>#REF!</v>
      </c>
      <c r="J74" s="133">
        <v>0</v>
      </c>
      <c r="K74" s="83"/>
      <c r="L74" s="196" t="e">
        <f>SUM(#REF!/30.126)</f>
        <v>#REF!</v>
      </c>
      <c r="M74" s="21"/>
      <c r="N74" s="1"/>
    </row>
    <row r="75" spans="1:14" s="54" customFormat="1" ht="13.5" customHeight="1" thickBot="1">
      <c r="A75" s="176"/>
      <c r="B75" s="42" t="s">
        <v>84</v>
      </c>
      <c r="C75" s="30"/>
      <c r="D75" s="96"/>
      <c r="E75" s="149"/>
      <c r="F75" s="120"/>
      <c r="G75" s="120"/>
      <c r="H75" s="147"/>
      <c r="I75" s="202">
        <v>302.03414</v>
      </c>
      <c r="J75" s="133"/>
      <c r="K75" s="82"/>
      <c r="L75" s="202">
        <v>302.03414</v>
      </c>
      <c r="M75" s="21"/>
      <c r="N75" s="1"/>
    </row>
    <row r="76" spans="1:14" s="54" customFormat="1" ht="13.5" customHeight="1" thickBot="1">
      <c r="A76" s="176"/>
      <c r="B76" s="205" t="s">
        <v>85</v>
      </c>
      <c r="C76" s="59"/>
      <c r="D76" s="97"/>
      <c r="E76" s="150"/>
      <c r="F76" s="177"/>
      <c r="G76" s="177"/>
      <c r="H76" s="178"/>
      <c r="I76" s="204">
        <v>9.78707</v>
      </c>
      <c r="J76" s="180"/>
      <c r="K76" s="179"/>
      <c r="L76" s="204">
        <v>9.78707</v>
      </c>
      <c r="M76" s="21"/>
      <c r="N76" s="1"/>
    </row>
    <row r="77" spans="1:14" s="54" customFormat="1" ht="33.75">
      <c r="A77" s="261" t="s">
        <v>40</v>
      </c>
      <c r="B77" s="77" t="s">
        <v>41</v>
      </c>
      <c r="C77" s="102">
        <f>C78+C79+C80</f>
        <v>97474</v>
      </c>
      <c r="D77" s="78">
        <f>SUM(D78:D80)</f>
        <v>139890</v>
      </c>
      <c r="E77" s="78">
        <f>SUM(E78:E80)</f>
        <v>139890</v>
      </c>
      <c r="F77" s="248" t="s">
        <v>6</v>
      </c>
      <c r="G77" s="260" t="s">
        <v>66</v>
      </c>
      <c r="H77" s="241" t="s">
        <v>23</v>
      </c>
      <c r="I77" s="118">
        <f>I78+I79+I80</f>
        <v>131839.83201</v>
      </c>
      <c r="J77" s="128"/>
      <c r="K77" s="69">
        <v>0</v>
      </c>
      <c r="L77" s="134">
        <f>L78+L79+L80</f>
        <v>559.72</v>
      </c>
      <c r="M77" s="21"/>
      <c r="N77" s="1"/>
    </row>
    <row r="78" spans="1:14" s="54" customFormat="1" ht="13.5" customHeight="1">
      <c r="A78" s="262"/>
      <c r="B78" s="39" t="s">
        <v>7</v>
      </c>
      <c r="C78" s="96">
        <v>72131</v>
      </c>
      <c r="D78" s="30">
        <v>72131</v>
      </c>
      <c r="E78" s="30">
        <v>72131</v>
      </c>
      <c r="F78" s="273"/>
      <c r="G78" s="273"/>
      <c r="H78" s="275"/>
      <c r="I78" s="138">
        <f>66093840/1000</f>
        <v>66093.84</v>
      </c>
      <c r="J78" s="129"/>
      <c r="K78" s="76">
        <v>0</v>
      </c>
      <c r="L78" s="140">
        <v>0</v>
      </c>
      <c r="M78" s="21"/>
      <c r="N78" s="1"/>
    </row>
    <row r="79" spans="1:14" s="54" customFormat="1" ht="13.5" customHeight="1">
      <c r="A79" s="262"/>
      <c r="B79" s="39" t="s">
        <v>8</v>
      </c>
      <c r="C79" s="96">
        <v>25343</v>
      </c>
      <c r="D79" s="30">
        <v>25343</v>
      </c>
      <c r="E79" s="30">
        <v>25343</v>
      </c>
      <c r="F79" s="273"/>
      <c r="G79" s="273"/>
      <c r="H79" s="275"/>
      <c r="I79" s="138">
        <f>23222160/1000</f>
        <v>23222.16</v>
      </c>
      <c r="J79" s="129"/>
      <c r="K79" s="76">
        <v>0</v>
      </c>
      <c r="L79" s="140">
        <v>0</v>
      </c>
      <c r="M79" s="21"/>
      <c r="N79" s="1"/>
    </row>
    <row r="80" spans="1:14" s="54" customFormat="1" ht="13.5" customHeight="1" thickBot="1">
      <c r="A80" s="263"/>
      <c r="B80" s="42" t="s">
        <v>42</v>
      </c>
      <c r="C80" s="97"/>
      <c r="D80" s="59">
        <v>42416</v>
      </c>
      <c r="E80" s="59">
        <v>42416</v>
      </c>
      <c r="F80" s="274"/>
      <c r="G80" s="274"/>
      <c r="H80" s="276"/>
      <c r="I80" s="139">
        <f>(41964114.6+559717.41)/1000</f>
        <v>42523.83201</v>
      </c>
      <c r="J80" s="130"/>
      <c r="K80" s="80">
        <v>559.72</v>
      </c>
      <c r="L80" s="141">
        <f>K80</f>
        <v>559.72</v>
      </c>
      <c r="M80" s="21"/>
      <c r="N80" s="1"/>
    </row>
    <row r="81" spans="1:13" s="1" customFormat="1" ht="12.75" customHeight="1" hidden="1">
      <c r="A81" s="84"/>
      <c r="B81" s="47"/>
      <c r="C81" s="46"/>
      <c r="D81" s="32"/>
      <c r="E81" s="33"/>
      <c r="F81" s="6"/>
      <c r="G81" s="6"/>
      <c r="H81" s="36"/>
      <c r="I81" s="37"/>
      <c r="J81" s="12"/>
      <c r="K81" s="74"/>
      <c r="L81" s="13" t="e">
        <f>SUM(#REF!/30.126)</f>
        <v>#REF!</v>
      </c>
      <c r="M81" s="21"/>
    </row>
    <row r="82" spans="2:12" s="1" customFormat="1" ht="12.75" hidden="1">
      <c r="B82" s="38" t="s">
        <v>22</v>
      </c>
      <c r="C82" s="17"/>
      <c r="D82" s="17"/>
      <c r="E82" s="17"/>
      <c r="F82" s="17"/>
      <c r="G82" s="17"/>
      <c r="H82" s="17"/>
      <c r="I82" s="17"/>
      <c r="J82" s="20" t="e">
        <f>#REF!+#REF!+#REF!+#REF!+#REF!+#REF!+#REF!+#REF!+#REF!</f>
        <v>#REF!</v>
      </c>
      <c r="K82" s="48" t="e">
        <f>#REF!+#REF!+#REF!+#REF!+#REF!+#REF!+#REF!+#REF!+#REF!</f>
        <v>#REF!</v>
      </c>
      <c r="L82" s="52" t="e">
        <f>SUM(#REF!/30.126)</f>
        <v>#REF!</v>
      </c>
    </row>
    <row r="83" spans="2:12" s="1" customFormat="1" ht="12.75" hidden="1">
      <c r="B83" s="14" t="s">
        <v>17</v>
      </c>
      <c r="C83" s="8"/>
      <c r="D83" s="8"/>
      <c r="E83" s="8"/>
      <c r="F83" s="8"/>
      <c r="G83" s="8"/>
      <c r="H83" s="8"/>
      <c r="I83" s="8"/>
      <c r="J83" s="15" t="e">
        <f>SUM(#REF!+#REF!+#REF!+#REF!+#REF!+#REF!+#REF!+#REF!+#REF!)</f>
        <v>#REF!</v>
      </c>
      <c r="K83" s="49" t="e">
        <f>SUM(#REF!+#REF!+#REF!+#REF!+#REF!+#REF!+#REF!+#REF!+#REF!)</f>
        <v>#REF!</v>
      </c>
      <c r="L83" s="51" t="e">
        <f>SUM(#REF!/30.126)</f>
        <v>#REF!</v>
      </c>
    </row>
    <row r="84" spans="2:12" s="1" customFormat="1" ht="13.5" hidden="1" thickBot="1">
      <c r="B84" s="4" t="s">
        <v>21</v>
      </c>
      <c r="C84" s="2"/>
      <c r="D84" s="2"/>
      <c r="E84" s="2"/>
      <c r="F84" s="2"/>
      <c r="G84" s="2"/>
      <c r="H84" s="2"/>
      <c r="I84" s="2"/>
      <c r="J84" s="16"/>
      <c r="K84" s="50"/>
      <c r="L84" s="53" t="e">
        <f>SUM(#REF!/30.126)</f>
        <v>#REF!</v>
      </c>
    </row>
    <row r="85" spans="10:12" s="1" customFormat="1" ht="12.75">
      <c r="J85" s="3"/>
      <c r="K85" s="3"/>
      <c r="L85" s="65"/>
    </row>
    <row r="86" spans="8:12" s="1" customFormat="1" ht="12.75">
      <c r="H86" s="3"/>
      <c r="L86" s="23"/>
    </row>
    <row r="87" s="1" customFormat="1" ht="12.75">
      <c r="H87" s="3"/>
    </row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</sheetData>
  <sheetProtection/>
  <mergeCells count="59">
    <mergeCell ref="B2:B4"/>
    <mergeCell ref="A72:A74"/>
    <mergeCell ref="A65:A71"/>
    <mergeCell ref="F19:F21"/>
    <mergeCell ref="F56:F58"/>
    <mergeCell ref="F16:F18"/>
    <mergeCell ref="C2:C4"/>
    <mergeCell ref="D2:D4"/>
    <mergeCell ref="E2:E4"/>
    <mergeCell ref="F69:F71"/>
    <mergeCell ref="H62:H64"/>
    <mergeCell ref="F77:F80"/>
    <mergeCell ref="I2:I3"/>
    <mergeCell ref="F65:F68"/>
    <mergeCell ref="G65:G68"/>
    <mergeCell ref="G13:G15"/>
    <mergeCell ref="H13:H15"/>
    <mergeCell ref="F8:F11"/>
    <mergeCell ref="F2:F4"/>
    <mergeCell ref="G2:G4"/>
    <mergeCell ref="A77:A80"/>
    <mergeCell ref="A8:A64"/>
    <mergeCell ref="H16:H18"/>
    <mergeCell ref="H65:H68"/>
    <mergeCell ref="H59:H61"/>
    <mergeCell ref="G8:G11"/>
    <mergeCell ref="H8:H11"/>
    <mergeCell ref="G77:G80"/>
    <mergeCell ref="H77:H80"/>
    <mergeCell ref="H69:H71"/>
    <mergeCell ref="F41:F43"/>
    <mergeCell ref="G41:G43"/>
    <mergeCell ref="H41:H43"/>
    <mergeCell ref="F13:F15"/>
    <mergeCell ref="G16:G18"/>
    <mergeCell ref="G19:G21"/>
    <mergeCell ref="G44:G46"/>
    <mergeCell ref="G59:G61"/>
    <mergeCell ref="G69:G71"/>
    <mergeCell ref="F59:F61"/>
    <mergeCell ref="F62:F64"/>
    <mergeCell ref="G62:G64"/>
    <mergeCell ref="H56:H58"/>
    <mergeCell ref="G22:G25"/>
    <mergeCell ref="F22:F25"/>
    <mergeCell ref="H22:H25"/>
    <mergeCell ref="H26:H30"/>
    <mergeCell ref="H50:H52"/>
    <mergeCell ref="H53:H55"/>
    <mergeCell ref="H47:H49"/>
    <mergeCell ref="G56:G58"/>
    <mergeCell ref="F44:F46"/>
    <mergeCell ref="L2:L3"/>
    <mergeCell ref="M38:M43"/>
    <mergeCell ref="H36:H40"/>
    <mergeCell ref="H44:H46"/>
    <mergeCell ref="H31:H35"/>
    <mergeCell ref="H19:H21"/>
    <mergeCell ref="H2:H4"/>
  </mergeCells>
  <printOptions horizontalCentered="1"/>
  <pageMargins left="0.3937007874015748" right="0.3937007874015748" top="0.1968503937007874" bottom="0.1968503937007874" header="0.3937007874015748" footer="0.5118110236220472"/>
  <pageSetup horizontalDpi="600" verticalDpi="600" orientation="portrait" paperSize="8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tokolyova</cp:lastModifiedBy>
  <cp:lastPrinted>2011-03-24T08:43:09Z</cp:lastPrinted>
  <dcterms:created xsi:type="dcterms:W3CDTF">2001-03-09T09:19:49Z</dcterms:created>
  <dcterms:modified xsi:type="dcterms:W3CDTF">2011-03-24T10:35:28Z</dcterms:modified>
  <cp:category/>
  <cp:version/>
  <cp:contentType/>
  <cp:contentStatus/>
</cp:coreProperties>
</file>