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15" windowWidth="12270" windowHeight="4845" tabRatio="427" activeTab="0"/>
  </bookViews>
  <sheets>
    <sheet name="List1" sheetId="1" r:id="rId1"/>
  </sheets>
  <definedNames>
    <definedName name="_xlnm.Print_Area" localSheetId="0">'List1'!$A$1:$O$43</definedName>
    <definedName name="Z_43E08823_D9E6_4496_9307_1C0CC1CED54E_.wvu.Cols" localSheetId="0" hidden="1">'List1'!$E:$E</definedName>
    <definedName name="Z_43E08823_D9E6_4496_9307_1C0CC1CED54E_.wvu.PrintArea" localSheetId="0" hidden="1">'List1'!$A$1:$O$43</definedName>
    <definedName name="Z_9216867F_D984_467C_91D7_5460F803CB4B_.wvu.Cols" localSheetId="0" hidden="1">'List1'!$E:$E</definedName>
    <definedName name="Z_9216867F_D984_467C_91D7_5460F803CB4B_.wvu.PrintArea" localSheetId="0" hidden="1">'List1'!$A$1:$O$43</definedName>
    <definedName name="Z_C59D1D7A_2566_45C8_A2FA_33B50CDDC0DD_.wvu.Cols" localSheetId="0" hidden="1">'List1'!$E:$E</definedName>
    <definedName name="Z_C59D1D7A_2566_45C8_A2FA_33B50CDDC0DD_.wvu.PrintArea" localSheetId="0" hidden="1">'List1'!$A$1:$O$43</definedName>
    <definedName name="Z_E7538EC4_E1B4_4685_99D6_F999E31522A1_.wvu.Cols" localSheetId="0" hidden="1">'List1'!$E:$E</definedName>
    <definedName name="Z_E7538EC4_E1B4_4685_99D6_F999E31522A1_.wvu.PrintArea" localSheetId="0" hidden="1">'List1'!$A$1:$O$43</definedName>
  </definedNames>
  <calcPr fullCalcOnLoad="1"/>
</workbook>
</file>

<file path=xl/sharedStrings.xml><?xml version="1.0" encoding="utf-8"?>
<sst xmlns="http://schemas.openxmlformats.org/spreadsheetml/2006/main" count="95" uniqueCount="55">
  <si>
    <t>Názov stavby</t>
  </si>
  <si>
    <t>BA Petržalka – BA Východné (interop)</t>
  </si>
  <si>
    <t>KF</t>
  </si>
  <si>
    <t>-</t>
  </si>
  <si>
    <t>Žilina - Krásno nad Kysucou</t>
  </si>
  <si>
    <t>žltá farba - s rezervovanými prostriedkami</t>
  </si>
  <si>
    <t>zelená farba - potrebné stavby k realizácii koridoru</t>
  </si>
  <si>
    <t>NM n/V - Púchov(Nové Mesto nad Váhom - Zlatovce)</t>
  </si>
  <si>
    <t>Púchov - Žilina(II. etapa Považská Teplá - Žilina)</t>
  </si>
  <si>
    <t>Púchov - Žilina( I. etapa Púchov - Považská Teplá)</t>
  </si>
  <si>
    <t>Žilina - Teplička (zriaďovacia stanica)</t>
  </si>
  <si>
    <t>Čierna nad Tisou (modernizácia stanice NR, ŠR)</t>
  </si>
  <si>
    <t>TEN17 Marcheg – DNV( elektrifikácia)</t>
  </si>
  <si>
    <t>GSM/R (V. koridor BA - ZA)</t>
  </si>
  <si>
    <t>GSM/R (VI. koridor)</t>
  </si>
  <si>
    <t>Interoperabilita IV.(E) kor (16proj Opt.k, GSM-R,ETCS,ES)</t>
  </si>
  <si>
    <t>NM n/V - Púchov(Zlatovce - Trenč.Teplá )</t>
  </si>
  <si>
    <t>Verejný terminál IP Košice</t>
  </si>
  <si>
    <t>IN z operač.programu v mil.SKK</t>
  </si>
  <si>
    <t>Priorit.    os</t>
  </si>
  <si>
    <t xml:space="preserve">Modernizácia trate IV.koridoru, úsek št.hr.SR/ČR-Kúty </t>
  </si>
  <si>
    <t>Verejný terminál IP Bratislava</t>
  </si>
  <si>
    <t xml:space="preserve">Verejný terminál IP Zvolen </t>
  </si>
  <si>
    <t>Odbočka Vinohrady -Bratislava predmestie - Bratislava Nové Mesto - ÚNS (vrátane napojenia let.od BNM interoperabilita)</t>
  </si>
  <si>
    <t xml:space="preserve">IDS Košice </t>
  </si>
  <si>
    <t>Trať Bosákova - Janíkov Dvor</t>
  </si>
  <si>
    <t>Odbočka Slovany -BNM</t>
  </si>
  <si>
    <t>Zdvojkoľajnenie Bratislava Petržalka - Kitsee</t>
  </si>
  <si>
    <t>Zdvojkoľajnenie BNM-Bratislava hl.stanica</t>
  </si>
  <si>
    <t>Inteligentný dopr.systém riadenia TIP</t>
  </si>
  <si>
    <t>ETCS - V. koridor (BA - NM a VI. Koridor)</t>
  </si>
  <si>
    <t>farba šedá - projekty zaradené do OPD ale presahujú odsúhlasený limit</t>
  </si>
  <si>
    <t>Verejný terminál IP Žilina - DÚR, EIA</t>
  </si>
  <si>
    <t xml:space="preserve">Verejný terminál IP Žilina </t>
  </si>
  <si>
    <t xml:space="preserve">Projektová dokumentácia úsek Liptovský Mikuláš - Košice </t>
  </si>
  <si>
    <t>TEŠ koľaj. trať  v MČ Bratislava Petržalka</t>
  </si>
  <si>
    <t>TEŠ IDS na území Bratislavy s dosahom na regióny</t>
  </si>
  <si>
    <t>Štúdia IDSK</t>
  </si>
  <si>
    <t xml:space="preserve">P.č. </t>
  </si>
  <si>
    <t xml:space="preserve"> </t>
  </si>
  <si>
    <t>Spolu</t>
  </si>
  <si>
    <t>Zahustenie zastávok v Bratislave</t>
  </si>
  <si>
    <t>2.1</t>
  </si>
  <si>
    <t>2.2</t>
  </si>
  <si>
    <t>2.3</t>
  </si>
  <si>
    <t>2.4</t>
  </si>
  <si>
    <t>6.1</t>
  </si>
  <si>
    <t>6.2</t>
  </si>
  <si>
    <t>Verejný terminál IP Leopoldov (ZS)</t>
  </si>
  <si>
    <t>NM n/V - Púchov(Trenčianska Teplá - Ilava - Beluša)</t>
  </si>
  <si>
    <t>NM n/V - Púchov (Beluša-Púchov)</t>
  </si>
  <si>
    <t>Celkový prehľad čerpania finančných prostriedkov v rokoch 2007 - 2010 a prognóza čerpania fin. prostriedkov v rokocj 2011-2015</t>
  </si>
  <si>
    <t xml:space="preserve">Investičné náklady </t>
  </si>
  <si>
    <t>TEN-T17 BA Nové M - nap. let. MRŠ</t>
  </si>
  <si>
    <t>TEN-T17 BA filiálka - prep. koridorov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</si>
</sst>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"/>
    <numFmt numFmtId="177" formatCode="#,##0.000"/>
    <numFmt numFmtId="178" formatCode="#,##0.0000"/>
  </numFmts>
  <fonts count="49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u val="single"/>
      <sz val="7"/>
      <color indexed="12"/>
      <name val="Arial CE"/>
      <family val="0"/>
    </font>
    <font>
      <u val="single"/>
      <sz val="7"/>
      <color indexed="36"/>
      <name val="Arial CE"/>
      <family val="0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3" fillId="33" borderId="0" xfId="0" applyFont="1" applyFill="1" applyBorder="1" applyAlignment="1">
      <alignment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9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" fontId="7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 wrapText="1"/>
    </xf>
    <xf numFmtId="0" fontId="3" fillId="34" borderId="0" xfId="0" applyFont="1" applyFill="1" applyBorder="1" applyAlignment="1">
      <alignment horizontal="left"/>
    </xf>
    <xf numFmtId="3" fontId="1" fillId="34" borderId="0" xfId="0" applyNumberFormat="1" applyFont="1" applyFill="1" applyBorder="1" applyAlignment="1">
      <alignment/>
    </xf>
    <xf numFmtId="0" fontId="13" fillId="35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wrapText="1"/>
    </xf>
    <xf numFmtId="0" fontId="1" fillId="35" borderId="14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36" borderId="0" xfId="0" applyFont="1" applyFill="1" applyAlignment="1">
      <alignment/>
    </xf>
    <xf numFmtId="0" fontId="6" fillId="0" borderId="18" xfId="0" applyFont="1" applyBorder="1" applyAlignment="1">
      <alignment horizontal="right"/>
    </xf>
    <xf numFmtId="1" fontId="6" fillId="0" borderId="10" xfId="0" applyNumberFormat="1" applyFont="1" applyBorder="1" applyAlignment="1">
      <alignment/>
    </xf>
    <xf numFmtId="0" fontId="6" fillId="37" borderId="19" xfId="0" applyFont="1" applyFill="1" applyBorder="1" applyAlignment="1">
      <alignment horizontal="center"/>
    </xf>
    <xf numFmtId="0" fontId="6" fillId="37" borderId="20" xfId="0" applyFont="1" applyFill="1" applyBorder="1" applyAlignment="1">
      <alignment horizontal="center"/>
    </xf>
    <xf numFmtId="0" fontId="8" fillId="37" borderId="21" xfId="0" applyFont="1" applyFill="1" applyBorder="1" applyAlignment="1">
      <alignment wrapText="1"/>
    </xf>
    <xf numFmtId="0" fontId="6" fillId="37" borderId="22" xfId="0" applyFont="1" applyFill="1" applyBorder="1" applyAlignment="1">
      <alignment horizontal="center"/>
    </xf>
    <xf numFmtId="0" fontId="6" fillId="37" borderId="23" xfId="0" applyFont="1" applyFill="1" applyBorder="1" applyAlignment="1">
      <alignment horizontal="center"/>
    </xf>
    <xf numFmtId="0" fontId="8" fillId="37" borderId="24" xfId="0" applyFont="1" applyFill="1" applyBorder="1" applyAlignment="1">
      <alignment wrapText="1"/>
    </xf>
    <xf numFmtId="4" fontId="1" fillId="37" borderId="25" xfId="0" applyNumberFormat="1" applyFont="1" applyFill="1" applyBorder="1" applyAlignment="1">
      <alignment horizontal="right" wrapText="1"/>
    </xf>
    <xf numFmtId="177" fontId="1" fillId="37" borderId="25" xfId="0" applyNumberFormat="1" applyFont="1" applyFill="1" applyBorder="1" applyAlignment="1">
      <alignment horizontal="right" wrapText="1"/>
    </xf>
    <xf numFmtId="4" fontId="1" fillId="37" borderId="22" xfId="0" applyNumberFormat="1" applyFont="1" applyFill="1" applyBorder="1" applyAlignment="1">
      <alignment horizontal="right" wrapText="1"/>
    </xf>
    <xf numFmtId="177" fontId="1" fillId="37" borderId="22" xfId="0" applyNumberFormat="1" applyFont="1" applyFill="1" applyBorder="1" applyAlignment="1">
      <alignment horizontal="right" wrapText="1"/>
    </xf>
    <xf numFmtId="4" fontId="1" fillId="37" borderId="21" xfId="0" applyNumberFormat="1" applyFont="1" applyFill="1" applyBorder="1" applyAlignment="1">
      <alignment horizontal="right" wrapText="1"/>
    </xf>
    <xf numFmtId="4" fontId="1" fillId="37" borderId="19" xfId="0" applyNumberFormat="1" applyFont="1" applyFill="1" applyBorder="1" applyAlignment="1">
      <alignment horizontal="right" wrapText="1"/>
    </xf>
    <xf numFmtId="177" fontId="1" fillId="37" borderId="19" xfId="0" applyNumberFormat="1" applyFont="1" applyFill="1" applyBorder="1" applyAlignment="1">
      <alignment horizontal="right" wrapText="1"/>
    </xf>
    <xf numFmtId="4" fontId="1" fillId="37" borderId="19" xfId="0" applyNumberFormat="1" applyFont="1" applyFill="1" applyBorder="1" applyAlignment="1">
      <alignment horizontal="right" wrapText="1"/>
    </xf>
    <xf numFmtId="177" fontId="1" fillId="37" borderId="19" xfId="0" applyNumberFormat="1" applyFont="1" applyFill="1" applyBorder="1" applyAlignment="1">
      <alignment horizontal="right" wrapText="1"/>
    </xf>
    <xf numFmtId="177" fontId="1" fillId="37" borderId="21" xfId="0" applyNumberFormat="1" applyFont="1" applyFill="1" applyBorder="1" applyAlignment="1">
      <alignment horizontal="right" wrapText="1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8" fillId="36" borderId="21" xfId="0" applyFont="1" applyFill="1" applyBorder="1" applyAlignment="1">
      <alignment wrapText="1"/>
    </xf>
    <xf numFmtId="3" fontId="1" fillId="36" borderId="21" xfId="0" applyNumberFormat="1" applyFont="1" applyFill="1" applyBorder="1" applyAlignment="1">
      <alignment horizontal="right" wrapText="1"/>
    </xf>
    <xf numFmtId="4" fontId="1" fillId="36" borderId="19" xfId="0" applyNumberFormat="1" applyFont="1" applyFill="1" applyBorder="1" applyAlignment="1">
      <alignment horizontal="right" wrapText="1"/>
    </xf>
    <xf numFmtId="0" fontId="6" fillId="36" borderId="22" xfId="0" applyFont="1" applyFill="1" applyBorder="1" applyAlignment="1">
      <alignment horizontal="center"/>
    </xf>
    <xf numFmtId="0" fontId="6" fillId="36" borderId="23" xfId="0" applyFont="1" applyFill="1" applyBorder="1" applyAlignment="1">
      <alignment horizontal="center"/>
    </xf>
    <xf numFmtId="0" fontId="8" fillId="36" borderId="25" xfId="0" applyFont="1" applyFill="1" applyBorder="1" applyAlignment="1">
      <alignment wrapText="1"/>
    </xf>
    <xf numFmtId="3" fontId="1" fillId="36" borderId="25" xfId="0" applyNumberFormat="1" applyFont="1" applyFill="1" applyBorder="1" applyAlignment="1">
      <alignment horizontal="right" wrapText="1"/>
    </xf>
    <xf numFmtId="4" fontId="1" fillId="36" borderId="22" xfId="0" applyNumberFormat="1" applyFont="1" applyFill="1" applyBorder="1" applyAlignment="1">
      <alignment horizontal="right" wrapText="1"/>
    </xf>
    <xf numFmtId="4" fontId="1" fillId="36" borderId="19" xfId="0" applyNumberFormat="1" applyFont="1" applyFill="1" applyBorder="1" applyAlignment="1">
      <alignment horizontal="right" wrapText="1"/>
    </xf>
    <xf numFmtId="0" fontId="6" fillId="36" borderId="26" xfId="0" applyFont="1" applyFill="1" applyBorder="1" applyAlignment="1">
      <alignment horizontal="center"/>
    </xf>
    <xf numFmtId="0" fontId="6" fillId="36" borderId="27" xfId="0" applyFont="1" applyFill="1" applyBorder="1" applyAlignment="1">
      <alignment horizontal="center"/>
    </xf>
    <xf numFmtId="0" fontId="8" fillId="36" borderId="28" xfId="0" applyFont="1" applyFill="1" applyBorder="1" applyAlignment="1">
      <alignment wrapText="1"/>
    </xf>
    <xf numFmtId="3" fontId="1" fillId="36" borderId="28" xfId="0" applyNumberFormat="1" applyFont="1" applyFill="1" applyBorder="1" applyAlignment="1">
      <alignment horizontal="right" wrapText="1"/>
    </xf>
    <xf numFmtId="4" fontId="1" fillId="36" borderId="26" xfId="0" applyNumberFormat="1" applyFont="1" applyFill="1" applyBorder="1" applyAlignment="1">
      <alignment horizontal="right" wrapText="1"/>
    </xf>
    <xf numFmtId="0" fontId="6" fillId="36" borderId="29" xfId="0" applyFont="1" applyFill="1" applyBorder="1" applyAlignment="1">
      <alignment horizontal="center"/>
    </xf>
    <xf numFmtId="0" fontId="6" fillId="36" borderId="30" xfId="0" applyFont="1" applyFill="1" applyBorder="1" applyAlignment="1">
      <alignment horizontal="center"/>
    </xf>
    <xf numFmtId="3" fontId="1" fillId="36" borderId="31" xfId="0" applyNumberFormat="1" applyFont="1" applyFill="1" applyBorder="1" applyAlignment="1">
      <alignment horizontal="right"/>
    </xf>
    <xf numFmtId="4" fontId="1" fillId="36" borderId="29" xfId="0" applyNumberFormat="1" applyFont="1" applyFill="1" applyBorder="1" applyAlignment="1">
      <alignment horizontal="right" wrapText="1"/>
    </xf>
    <xf numFmtId="0" fontId="2" fillId="36" borderId="32" xfId="0" applyFont="1" applyFill="1" applyBorder="1" applyAlignment="1">
      <alignment wrapText="1"/>
    </xf>
    <xf numFmtId="3" fontId="1" fillId="36" borderId="32" xfId="0" applyNumberFormat="1" applyFont="1" applyFill="1" applyBorder="1" applyAlignment="1">
      <alignment horizontal="right" wrapText="1"/>
    </xf>
    <xf numFmtId="4" fontId="1" fillId="36" borderId="26" xfId="0" applyNumberFormat="1" applyFont="1" applyFill="1" applyBorder="1" applyAlignment="1">
      <alignment horizontal="right" wrapText="1"/>
    </xf>
    <xf numFmtId="0" fontId="6" fillId="36" borderId="33" xfId="0" applyFont="1" applyFill="1" applyBorder="1" applyAlignment="1">
      <alignment horizontal="center"/>
    </xf>
    <xf numFmtId="0" fontId="6" fillId="36" borderId="34" xfId="0" applyFont="1" applyFill="1" applyBorder="1" applyAlignment="1">
      <alignment horizontal="center"/>
    </xf>
    <xf numFmtId="0" fontId="2" fillId="36" borderId="28" xfId="0" applyFont="1" applyFill="1" applyBorder="1" applyAlignment="1">
      <alignment wrapText="1"/>
    </xf>
    <xf numFmtId="3" fontId="1" fillId="36" borderId="28" xfId="0" applyNumberFormat="1" applyFont="1" applyFill="1" applyBorder="1" applyAlignment="1">
      <alignment horizontal="right" wrapText="1"/>
    </xf>
    <xf numFmtId="4" fontId="1" fillId="36" borderId="33" xfId="0" applyNumberFormat="1" applyFont="1" applyFill="1" applyBorder="1" applyAlignment="1">
      <alignment horizontal="right" wrapText="1"/>
    </xf>
    <xf numFmtId="0" fontId="6" fillId="36" borderId="35" xfId="0" applyFont="1" applyFill="1" applyBorder="1" applyAlignment="1">
      <alignment horizontal="center"/>
    </xf>
    <xf numFmtId="0" fontId="2" fillId="36" borderId="36" xfId="0" applyFont="1" applyFill="1" applyBorder="1" applyAlignment="1">
      <alignment wrapText="1"/>
    </xf>
    <xf numFmtId="3" fontId="1" fillId="36" borderId="36" xfId="0" applyNumberFormat="1" applyFont="1" applyFill="1" applyBorder="1" applyAlignment="1">
      <alignment horizontal="right" wrapText="1"/>
    </xf>
    <xf numFmtId="4" fontId="1" fillId="36" borderId="37" xfId="0" applyNumberFormat="1" applyFont="1" applyFill="1" applyBorder="1" applyAlignment="1">
      <alignment horizontal="right" wrapText="1"/>
    </xf>
    <xf numFmtId="3" fontId="1" fillId="37" borderId="21" xfId="0" applyNumberFormat="1" applyFont="1" applyFill="1" applyBorder="1" applyAlignment="1">
      <alignment horizontal="right" wrapText="1"/>
    </xf>
    <xf numFmtId="4" fontId="1" fillId="37" borderId="38" xfId="0" applyNumberFormat="1" applyFont="1" applyFill="1" applyBorder="1" applyAlignment="1">
      <alignment horizontal="right" wrapText="1"/>
    </xf>
    <xf numFmtId="0" fontId="6" fillId="37" borderId="27" xfId="0" applyFont="1" applyFill="1" applyBorder="1" applyAlignment="1">
      <alignment horizontal="center"/>
    </xf>
    <xf numFmtId="0" fontId="2" fillId="37" borderId="32" xfId="0" applyFont="1" applyFill="1" applyBorder="1" applyAlignment="1">
      <alignment wrapText="1"/>
    </xf>
    <xf numFmtId="3" fontId="1" fillId="37" borderId="24" xfId="0" applyNumberFormat="1" applyFont="1" applyFill="1" applyBorder="1" applyAlignment="1">
      <alignment horizontal="right" wrapText="1"/>
    </xf>
    <xf numFmtId="0" fontId="2" fillId="37" borderId="19" xfId="0" applyFont="1" applyFill="1" applyBorder="1" applyAlignment="1">
      <alignment wrapText="1"/>
    </xf>
    <xf numFmtId="3" fontId="1" fillId="37" borderId="39" xfId="0" applyNumberFormat="1" applyFont="1" applyFill="1" applyBorder="1" applyAlignment="1">
      <alignment horizontal="right" wrapText="1"/>
    </xf>
    <xf numFmtId="0" fontId="6" fillId="37" borderId="40" xfId="0" applyFont="1" applyFill="1" applyBorder="1" applyAlignment="1">
      <alignment horizontal="center"/>
    </xf>
    <xf numFmtId="0" fontId="6" fillId="37" borderId="41" xfId="0" applyFont="1" applyFill="1" applyBorder="1" applyAlignment="1">
      <alignment horizontal="center"/>
    </xf>
    <xf numFmtId="0" fontId="8" fillId="37" borderId="42" xfId="0" applyFont="1" applyFill="1" applyBorder="1" applyAlignment="1">
      <alignment wrapText="1"/>
    </xf>
    <xf numFmtId="177" fontId="1" fillId="37" borderId="43" xfId="0" applyNumberFormat="1" applyFont="1" applyFill="1" applyBorder="1" applyAlignment="1">
      <alignment horizontal="right"/>
    </xf>
    <xf numFmtId="4" fontId="1" fillId="37" borderId="44" xfId="0" applyNumberFormat="1" applyFont="1" applyFill="1" applyBorder="1" applyAlignment="1">
      <alignment horizontal="right" wrapText="1"/>
    </xf>
    <xf numFmtId="4" fontId="1" fillId="37" borderId="45" xfId="0" applyNumberFormat="1" applyFont="1" applyFill="1" applyBorder="1" applyAlignment="1">
      <alignment horizontal="right"/>
    </xf>
    <xf numFmtId="3" fontId="1" fillId="37" borderId="38" xfId="0" applyNumberFormat="1" applyFont="1" applyFill="1" applyBorder="1" applyAlignment="1">
      <alignment horizontal="right"/>
    </xf>
    <xf numFmtId="4" fontId="1" fillId="37" borderId="38" xfId="0" applyNumberFormat="1" applyFont="1" applyFill="1" applyBorder="1" applyAlignment="1">
      <alignment horizontal="right"/>
    </xf>
    <xf numFmtId="0" fontId="8" fillId="37" borderId="25" xfId="0" applyFont="1" applyFill="1" applyBorder="1" applyAlignment="1">
      <alignment wrapText="1"/>
    </xf>
    <xf numFmtId="3" fontId="1" fillId="37" borderId="25" xfId="0" applyNumberFormat="1" applyFont="1" applyFill="1" applyBorder="1" applyAlignment="1">
      <alignment horizontal="right" wrapText="1"/>
    </xf>
    <xf numFmtId="4" fontId="1" fillId="37" borderId="22" xfId="0" applyNumberFormat="1" applyFont="1" applyFill="1" applyBorder="1" applyAlignment="1">
      <alignment horizontal="right" wrapText="1"/>
    </xf>
    <xf numFmtId="4" fontId="1" fillId="37" borderId="44" xfId="0" applyNumberFormat="1" applyFont="1" applyFill="1" applyBorder="1" applyAlignment="1">
      <alignment horizontal="right" wrapText="1"/>
    </xf>
    <xf numFmtId="4" fontId="1" fillId="37" borderId="29" xfId="0" applyNumberFormat="1" applyFont="1" applyFill="1" applyBorder="1" applyAlignment="1">
      <alignment horizontal="right" wrapText="1"/>
    </xf>
    <xf numFmtId="49" fontId="6" fillId="33" borderId="19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 wrapText="1"/>
    </xf>
    <xf numFmtId="3" fontId="12" fillId="33" borderId="46" xfId="0" applyNumberFormat="1" applyFont="1" applyFill="1" applyBorder="1" applyAlignment="1">
      <alignment horizontal="right" wrapText="1"/>
    </xf>
    <xf numFmtId="4" fontId="3" fillId="33" borderId="43" xfId="0" applyNumberFormat="1" applyFont="1" applyFill="1" applyBorder="1" applyAlignment="1">
      <alignment horizontal="right" wrapText="1"/>
    </xf>
    <xf numFmtId="4" fontId="3" fillId="33" borderId="44" xfId="0" applyNumberFormat="1" applyFont="1" applyFill="1" applyBorder="1" applyAlignment="1">
      <alignment horizontal="right" wrapText="1"/>
    </xf>
    <xf numFmtId="3" fontId="12" fillId="33" borderId="47" xfId="0" applyNumberFormat="1" applyFont="1" applyFill="1" applyBorder="1" applyAlignment="1">
      <alignment horizontal="right" wrapText="1"/>
    </xf>
    <xf numFmtId="4" fontId="3" fillId="33" borderId="38" xfId="0" applyNumberFormat="1" applyFont="1" applyFill="1" applyBorder="1" applyAlignment="1">
      <alignment horizontal="right" wrapText="1"/>
    </xf>
    <xf numFmtId="4" fontId="3" fillId="33" borderId="19" xfId="0" applyNumberFormat="1" applyFont="1" applyFill="1" applyBorder="1" applyAlignment="1">
      <alignment horizontal="right" wrapText="1"/>
    </xf>
    <xf numFmtId="0" fontId="8" fillId="33" borderId="19" xfId="0" applyFont="1" applyFill="1" applyBorder="1" applyAlignment="1">
      <alignment wrapText="1"/>
    </xf>
    <xf numFmtId="3" fontId="1" fillId="33" borderId="48" xfId="0" applyNumberFormat="1" applyFont="1" applyFill="1" applyBorder="1" applyAlignment="1">
      <alignment horizontal="right" wrapText="1"/>
    </xf>
    <xf numFmtId="0" fontId="1" fillId="35" borderId="16" xfId="0" applyFont="1" applyFill="1" applyBorder="1" applyAlignment="1">
      <alignment horizontal="center" wrapText="1"/>
    </xf>
    <xf numFmtId="4" fontId="1" fillId="37" borderId="49" xfId="0" applyNumberFormat="1" applyFont="1" applyFill="1" applyBorder="1" applyAlignment="1">
      <alignment horizontal="right" wrapText="1"/>
    </xf>
    <xf numFmtId="4" fontId="1" fillId="37" borderId="50" xfId="0" applyNumberFormat="1" applyFont="1" applyFill="1" applyBorder="1" applyAlignment="1">
      <alignment horizontal="right" wrapText="1"/>
    </xf>
    <xf numFmtId="4" fontId="1" fillId="36" borderId="50" xfId="0" applyNumberFormat="1" applyFont="1" applyFill="1" applyBorder="1" applyAlignment="1">
      <alignment horizontal="right" wrapText="1"/>
    </xf>
    <xf numFmtId="4" fontId="1" fillId="36" borderId="49" xfId="0" applyNumberFormat="1" applyFont="1" applyFill="1" applyBorder="1" applyAlignment="1">
      <alignment horizontal="right" wrapText="1"/>
    </xf>
    <xf numFmtId="4" fontId="1" fillId="36" borderId="51" xfId="0" applyNumberFormat="1" applyFont="1" applyFill="1" applyBorder="1" applyAlignment="1">
      <alignment horizontal="right" wrapText="1"/>
    </xf>
    <xf numFmtId="4" fontId="1" fillId="37" borderId="52" xfId="0" applyNumberFormat="1" applyFont="1" applyFill="1" applyBorder="1" applyAlignment="1">
      <alignment horizontal="right" wrapText="1"/>
    </xf>
    <xf numFmtId="4" fontId="1" fillId="36" borderId="53" xfId="0" applyNumberFormat="1" applyFont="1" applyFill="1" applyBorder="1" applyAlignment="1">
      <alignment horizontal="right" wrapText="1"/>
    </xf>
    <xf numFmtId="4" fontId="1" fillId="37" borderId="54" xfId="0" applyNumberFormat="1" applyFont="1" applyFill="1" applyBorder="1" applyAlignment="1">
      <alignment horizontal="right" wrapText="1"/>
    </xf>
    <xf numFmtId="4" fontId="1" fillId="37" borderId="48" xfId="0" applyNumberFormat="1" applyFont="1" applyFill="1" applyBorder="1" applyAlignment="1">
      <alignment horizontal="right" wrapText="1"/>
    </xf>
    <xf numFmtId="4" fontId="1" fillId="36" borderId="55" xfId="0" applyNumberFormat="1" applyFont="1" applyFill="1" applyBorder="1" applyAlignment="1">
      <alignment horizontal="right" wrapText="1"/>
    </xf>
    <xf numFmtId="4" fontId="1" fillId="36" borderId="56" xfId="0" applyNumberFormat="1" applyFont="1" applyFill="1" applyBorder="1" applyAlignment="1">
      <alignment horizontal="right" wrapText="1"/>
    </xf>
    <xf numFmtId="0" fontId="0" fillId="0" borderId="57" xfId="0" applyBorder="1" applyAlignment="1">
      <alignment/>
    </xf>
    <xf numFmtId="4" fontId="1" fillId="36" borderId="58" xfId="0" applyNumberFormat="1" applyFont="1" applyFill="1" applyBorder="1" applyAlignment="1">
      <alignment horizontal="right" wrapText="1"/>
    </xf>
    <xf numFmtId="4" fontId="1" fillId="37" borderId="50" xfId="0" applyNumberFormat="1" applyFont="1" applyFill="1" applyBorder="1" applyAlignment="1">
      <alignment horizontal="right" wrapText="1"/>
    </xf>
    <xf numFmtId="4" fontId="1" fillId="37" borderId="39" xfId="0" applyNumberFormat="1" applyFont="1" applyFill="1" applyBorder="1" applyAlignment="1">
      <alignment horizontal="right" wrapText="1"/>
    </xf>
    <xf numFmtId="4" fontId="3" fillId="33" borderId="52" xfId="0" applyNumberFormat="1" applyFont="1" applyFill="1" applyBorder="1" applyAlignment="1">
      <alignment horizontal="right" wrapText="1"/>
    </xf>
    <xf numFmtId="4" fontId="3" fillId="33" borderId="58" xfId="0" applyNumberFormat="1" applyFont="1" applyFill="1" applyBorder="1" applyAlignment="1">
      <alignment horizontal="right" wrapText="1"/>
    </xf>
    <xf numFmtId="4" fontId="3" fillId="33" borderId="50" xfId="0" applyNumberFormat="1" applyFont="1" applyFill="1" applyBorder="1" applyAlignment="1">
      <alignment horizontal="right" wrapText="1"/>
    </xf>
    <xf numFmtId="0" fontId="6" fillId="34" borderId="10" xfId="0" applyFont="1" applyFill="1" applyBorder="1" applyAlignment="1">
      <alignment/>
    </xf>
    <xf numFmtId="1" fontId="6" fillId="0" borderId="59" xfId="0" applyNumberFormat="1" applyFont="1" applyBorder="1" applyAlignment="1">
      <alignment/>
    </xf>
    <xf numFmtId="4" fontId="1" fillId="0" borderId="11" xfId="0" applyNumberFormat="1" applyFont="1" applyBorder="1" applyAlignment="1">
      <alignment horizontal="right"/>
    </xf>
    <xf numFmtId="4" fontId="1" fillId="0" borderId="6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0" fontId="6" fillId="37" borderId="20" xfId="0" applyFont="1" applyFill="1" applyBorder="1" applyAlignment="1">
      <alignment horizontal="center"/>
    </xf>
    <xf numFmtId="0" fontId="8" fillId="37" borderId="21" xfId="0" applyFont="1" applyFill="1" applyBorder="1" applyAlignment="1">
      <alignment wrapText="1"/>
    </xf>
    <xf numFmtId="175" fontId="1" fillId="37" borderId="19" xfId="0" applyNumberFormat="1" applyFont="1" applyFill="1" applyBorder="1" applyAlignment="1">
      <alignment horizontal="right" wrapText="1"/>
    </xf>
    <xf numFmtId="0" fontId="6" fillId="37" borderId="19" xfId="0" applyFont="1" applyFill="1" applyBorder="1" applyAlignment="1">
      <alignment horizontal="center"/>
    </xf>
    <xf numFmtId="177" fontId="1" fillId="38" borderId="22" xfId="0" applyNumberFormat="1" applyFont="1" applyFill="1" applyBorder="1" applyAlignment="1">
      <alignment horizontal="right" wrapText="1"/>
    </xf>
    <xf numFmtId="4" fontId="1" fillId="38" borderId="19" xfId="0" applyNumberFormat="1" applyFont="1" applyFill="1" applyBorder="1" applyAlignment="1">
      <alignment horizontal="right" wrapText="1"/>
    </xf>
    <xf numFmtId="177" fontId="1" fillId="38" borderId="19" xfId="0" applyNumberFormat="1" applyFont="1" applyFill="1" applyBorder="1" applyAlignment="1">
      <alignment horizontal="right" wrapText="1"/>
    </xf>
    <xf numFmtId="177" fontId="1" fillId="38" borderId="44" xfId="0" applyNumberFormat="1" applyFont="1" applyFill="1" applyBorder="1" applyAlignment="1">
      <alignment horizontal="right" wrapText="1"/>
    </xf>
    <xf numFmtId="4" fontId="1" fillId="38" borderId="44" xfId="0" applyNumberFormat="1" applyFont="1" applyFill="1" applyBorder="1" applyAlignment="1">
      <alignment horizontal="right" wrapText="1"/>
    </xf>
    <xf numFmtId="4" fontId="1" fillId="38" borderId="19" xfId="0" applyNumberFormat="1" applyFont="1" applyFill="1" applyBorder="1" applyAlignment="1">
      <alignment horizontal="right" wrapText="1"/>
    </xf>
    <xf numFmtId="175" fontId="1" fillId="38" borderId="19" xfId="0" applyNumberFormat="1" applyFont="1" applyFill="1" applyBorder="1" applyAlignment="1">
      <alignment horizontal="right" wrapText="1"/>
    </xf>
    <xf numFmtId="177" fontId="1" fillId="36" borderId="21" xfId="0" applyNumberFormat="1" applyFont="1" applyFill="1" applyBorder="1" applyAlignment="1">
      <alignment horizontal="right" wrapText="1"/>
    </xf>
    <xf numFmtId="177" fontId="1" fillId="36" borderId="25" xfId="0" applyNumberFormat="1" applyFont="1" applyFill="1" applyBorder="1" applyAlignment="1">
      <alignment horizontal="right" wrapText="1"/>
    </xf>
    <xf numFmtId="177" fontId="1" fillId="36" borderId="28" xfId="0" applyNumberFormat="1" applyFont="1" applyFill="1" applyBorder="1" applyAlignment="1">
      <alignment horizontal="right" wrapText="1"/>
    </xf>
    <xf numFmtId="177" fontId="1" fillId="37" borderId="24" xfId="0" applyNumberFormat="1" applyFont="1" applyFill="1" applyBorder="1" applyAlignment="1">
      <alignment horizontal="right"/>
    </xf>
    <xf numFmtId="177" fontId="1" fillId="37" borderId="61" xfId="0" applyNumberFormat="1" applyFont="1" applyFill="1" applyBorder="1" applyAlignment="1">
      <alignment horizontal="right"/>
    </xf>
    <xf numFmtId="177" fontId="1" fillId="37" borderId="21" xfId="0" applyNumberFormat="1" applyFont="1" applyFill="1" applyBorder="1" applyAlignment="1">
      <alignment horizontal="right"/>
    </xf>
    <xf numFmtId="177" fontId="1" fillId="37" borderId="10" xfId="0" applyNumberFormat="1" applyFont="1" applyFill="1" applyBorder="1" applyAlignment="1">
      <alignment horizontal="right" wrapText="1"/>
    </xf>
    <xf numFmtId="177" fontId="1" fillId="36" borderId="62" xfId="0" applyNumberFormat="1" applyFont="1" applyFill="1" applyBorder="1" applyAlignment="1">
      <alignment horizontal="right"/>
    </xf>
    <xf numFmtId="177" fontId="1" fillId="37" borderId="25" xfId="0" applyNumberFormat="1" applyFont="1" applyFill="1" applyBorder="1" applyAlignment="1">
      <alignment horizontal="right" wrapText="1"/>
    </xf>
    <xf numFmtId="177" fontId="1" fillId="37" borderId="21" xfId="0" applyNumberFormat="1" applyFont="1" applyFill="1" applyBorder="1" applyAlignment="1">
      <alignment horizontal="right" wrapText="1"/>
    </xf>
    <xf numFmtId="177" fontId="1" fillId="37" borderId="21" xfId="0" applyNumberFormat="1" applyFont="1" applyFill="1" applyBorder="1" applyAlignment="1">
      <alignment horizontal="right" vertical="center"/>
    </xf>
    <xf numFmtId="177" fontId="1" fillId="36" borderId="32" xfId="0" applyNumberFormat="1" applyFont="1" applyFill="1" applyBorder="1" applyAlignment="1">
      <alignment horizontal="right" vertical="center"/>
    </xf>
    <xf numFmtId="177" fontId="1" fillId="36" borderId="28" xfId="0" applyNumberFormat="1" applyFont="1" applyFill="1" applyBorder="1" applyAlignment="1">
      <alignment horizontal="right" vertical="center"/>
    </xf>
    <xf numFmtId="177" fontId="1" fillId="36" borderId="36" xfId="0" applyNumberFormat="1" applyFont="1" applyFill="1" applyBorder="1" applyAlignment="1">
      <alignment horizontal="right" vertical="center"/>
    </xf>
    <xf numFmtId="177" fontId="1" fillId="37" borderId="62" xfId="0" applyNumberFormat="1" applyFont="1" applyFill="1" applyBorder="1" applyAlignment="1">
      <alignment horizontal="right" vertical="center"/>
    </xf>
    <xf numFmtId="177" fontId="1" fillId="37" borderId="24" xfId="0" applyNumberFormat="1" applyFont="1" applyFill="1" applyBorder="1" applyAlignment="1">
      <alignment horizontal="right" wrapText="1"/>
    </xf>
    <xf numFmtId="177" fontId="3" fillId="33" borderId="24" xfId="0" applyNumberFormat="1" applyFont="1" applyFill="1" applyBorder="1" applyAlignment="1">
      <alignment horizontal="right" wrapText="1"/>
    </xf>
    <xf numFmtId="177" fontId="3" fillId="33" borderId="21" xfId="0" applyNumberFormat="1" applyFont="1" applyFill="1" applyBorder="1" applyAlignment="1">
      <alignment horizontal="right" wrapText="1"/>
    </xf>
    <xf numFmtId="177" fontId="1" fillId="0" borderId="11" xfId="0" applyNumberFormat="1" applyFont="1" applyBorder="1" applyAlignment="1">
      <alignment horizontal="right"/>
    </xf>
    <xf numFmtId="4" fontId="1" fillId="38" borderId="45" xfId="0" applyNumberFormat="1" applyFont="1" applyFill="1" applyBorder="1" applyAlignment="1">
      <alignment horizontal="right" wrapText="1"/>
    </xf>
    <xf numFmtId="4" fontId="1" fillId="38" borderId="22" xfId="0" applyNumberFormat="1" applyFont="1" applyFill="1" applyBorder="1" applyAlignment="1">
      <alignment horizontal="right" wrapText="1"/>
    </xf>
    <xf numFmtId="4" fontId="1" fillId="38" borderId="38" xfId="0" applyNumberFormat="1" applyFont="1" applyFill="1" applyBorder="1" applyAlignment="1">
      <alignment horizontal="right" wrapText="1"/>
    </xf>
    <xf numFmtId="4" fontId="1" fillId="38" borderId="63" xfId="0" applyNumberFormat="1" applyFont="1" applyFill="1" applyBorder="1" applyAlignment="1">
      <alignment horizontal="right" wrapText="1"/>
    </xf>
    <xf numFmtId="4" fontId="1" fillId="38" borderId="26" xfId="0" applyNumberFormat="1" applyFont="1" applyFill="1" applyBorder="1" applyAlignment="1">
      <alignment horizontal="right" wrapText="1"/>
    </xf>
    <xf numFmtId="4" fontId="1" fillId="38" borderId="64" xfId="0" applyNumberFormat="1" applyFont="1" applyFill="1" applyBorder="1" applyAlignment="1">
      <alignment horizontal="right" wrapText="1"/>
    </xf>
    <xf numFmtId="4" fontId="1" fillId="38" borderId="18" xfId="0" applyNumberFormat="1" applyFont="1" applyFill="1" applyBorder="1" applyAlignment="1">
      <alignment horizontal="right" wrapText="1"/>
    </xf>
    <xf numFmtId="4" fontId="1" fillId="38" borderId="10" xfId="0" applyNumberFormat="1" applyFont="1" applyFill="1" applyBorder="1" applyAlignment="1">
      <alignment horizontal="right" wrapText="1"/>
    </xf>
    <xf numFmtId="4" fontId="1" fillId="38" borderId="10" xfId="0" applyNumberFormat="1" applyFont="1" applyFill="1" applyBorder="1" applyAlignment="1">
      <alignment horizontal="right" wrapText="1"/>
    </xf>
    <xf numFmtId="4" fontId="1" fillId="38" borderId="65" xfId="0" applyNumberFormat="1" applyFont="1" applyFill="1" applyBorder="1" applyAlignment="1">
      <alignment horizontal="right" wrapText="1"/>
    </xf>
    <xf numFmtId="4" fontId="1" fillId="38" borderId="29" xfId="0" applyNumberFormat="1" applyFont="1" applyFill="1" applyBorder="1" applyAlignment="1">
      <alignment horizontal="right" wrapText="1"/>
    </xf>
    <xf numFmtId="4" fontId="1" fillId="38" borderId="45" xfId="0" applyNumberFormat="1" applyFont="1" applyFill="1" applyBorder="1" applyAlignment="1">
      <alignment horizontal="right" wrapText="1"/>
    </xf>
    <xf numFmtId="4" fontId="1" fillId="38" borderId="22" xfId="0" applyNumberFormat="1" applyFont="1" applyFill="1" applyBorder="1" applyAlignment="1">
      <alignment horizontal="right" wrapText="1"/>
    </xf>
    <xf numFmtId="4" fontId="1" fillId="38" borderId="38" xfId="0" applyNumberFormat="1" applyFont="1" applyFill="1" applyBorder="1" applyAlignment="1">
      <alignment horizontal="right" wrapText="1"/>
    </xf>
    <xf numFmtId="4" fontId="1" fillId="38" borderId="63" xfId="0" applyNumberFormat="1" applyFont="1" applyFill="1" applyBorder="1" applyAlignment="1">
      <alignment horizontal="right" wrapText="1"/>
    </xf>
    <xf numFmtId="4" fontId="1" fillId="38" borderId="26" xfId="0" applyNumberFormat="1" applyFont="1" applyFill="1" applyBorder="1" applyAlignment="1">
      <alignment horizontal="right" wrapText="1"/>
    </xf>
    <xf numFmtId="4" fontId="1" fillId="38" borderId="66" xfId="0" applyNumberFormat="1" applyFont="1" applyFill="1" applyBorder="1" applyAlignment="1">
      <alignment horizontal="right" wrapText="1"/>
    </xf>
    <xf numFmtId="4" fontId="1" fillId="38" borderId="33" xfId="0" applyNumberFormat="1" applyFont="1" applyFill="1" applyBorder="1" applyAlignment="1">
      <alignment horizontal="right" wrapText="1"/>
    </xf>
    <xf numFmtId="4" fontId="1" fillId="38" borderId="67" xfId="0" applyNumberFormat="1" applyFont="1" applyFill="1" applyBorder="1" applyAlignment="1">
      <alignment horizontal="right" wrapText="1"/>
    </xf>
    <xf numFmtId="4" fontId="1" fillId="38" borderId="37" xfId="0" applyNumberFormat="1" applyFont="1" applyFill="1" applyBorder="1" applyAlignment="1">
      <alignment horizontal="right" wrapText="1"/>
    </xf>
    <xf numFmtId="4" fontId="1" fillId="38" borderId="31" xfId="0" applyNumberFormat="1" applyFont="1" applyFill="1" applyBorder="1" applyAlignment="1">
      <alignment horizontal="right" wrapText="1"/>
    </xf>
    <xf numFmtId="4" fontId="1" fillId="38" borderId="29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horizontal="left"/>
    </xf>
    <xf numFmtId="0" fontId="1" fillId="0" borderId="59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="80" zoomScaleNormal="80" zoomScaleSheetLayoutView="70" zoomScalePageLayoutView="0" workbookViewId="0" topLeftCell="A1">
      <pane ySplit="2" topLeftCell="A24" activePane="bottomLeft" state="frozen"/>
      <selection pane="topLeft" activeCell="A1" sqref="A1"/>
      <selection pane="bottomLeft" activeCell="D2" sqref="D2"/>
    </sheetView>
  </sheetViews>
  <sheetFormatPr defaultColWidth="9.00390625" defaultRowHeight="12.75"/>
  <cols>
    <col min="1" max="1" width="11.875" style="2" customWidth="1"/>
    <col min="2" max="2" width="7.25390625" style="6" customWidth="1"/>
    <col min="3" max="3" width="5.875" style="6" customWidth="1"/>
    <col min="4" max="4" width="61.75390625" style="2" customWidth="1"/>
    <col min="5" max="5" width="21.75390625" style="2" hidden="1" customWidth="1"/>
    <col min="6" max="6" width="26.125" style="2" customWidth="1"/>
    <col min="7" max="7" width="12.625" style="2" customWidth="1"/>
    <col min="8" max="8" width="13.125" style="2" customWidth="1"/>
    <col min="9" max="9" width="14.25390625" style="2" bestFit="1" customWidth="1"/>
    <col min="10" max="11" width="16.00390625" style="2" bestFit="1" customWidth="1"/>
    <col min="12" max="13" width="16.125" style="2" bestFit="1" customWidth="1"/>
    <col min="14" max="15" width="16.00390625" style="2" bestFit="1" customWidth="1"/>
    <col min="16" max="16384" width="9.125" style="2" customWidth="1"/>
  </cols>
  <sheetData>
    <row r="1" spans="1:15" ht="20.25" customHeight="1" thickBot="1">
      <c r="A1" s="215" t="s">
        <v>51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1:15" s="53" customFormat="1" ht="70.5" customHeight="1" thickBot="1">
      <c r="A2" s="49" t="s">
        <v>38</v>
      </c>
      <c r="B2" s="50" t="s">
        <v>19</v>
      </c>
      <c r="C2" s="51" t="s">
        <v>2</v>
      </c>
      <c r="D2" s="52" t="s">
        <v>0</v>
      </c>
      <c r="E2" s="46" t="s">
        <v>18</v>
      </c>
      <c r="F2" s="46" t="s">
        <v>52</v>
      </c>
      <c r="G2" s="47">
        <v>2007</v>
      </c>
      <c r="H2" s="48">
        <v>2008</v>
      </c>
      <c r="I2" s="48">
        <v>2009</v>
      </c>
      <c r="J2" s="48">
        <v>2010</v>
      </c>
      <c r="K2" s="48">
        <v>2011</v>
      </c>
      <c r="L2" s="48">
        <v>2012</v>
      </c>
      <c r="M2" s="48">
        <v>2013</v>
      </c>
      <c r="N2" s="48">
        <v>2014</v>
      </c>
      <c r="O2" s="136">
        <v>2015</v>
      </c>
    </row>
    <row r="3" spans="1:15" ht="29.25" customHeight="1">
      <c r="A3" s="55">
        <v>1</v>
      </c>
      <c r="B3" s="60">
        <v>1</v>
      </c>
      <c r="C3" s="61" t="s">
        <v>2</v>
      </c>
      <c r="D3" s="62" t="s">
        <v>4</v>
      </c>
      <c r="E3" s="63">
        <f>(158840953*30.126)/1000000</f>
        <v>4785.242550078</v>
      </c>
      <c r="F3" s="64">
        <f>158840953/1000</f>
        <v>158840.953</v>
      </c>
      <c r="G3" s="190">
        <v>0</v>
      </c>
      <c r="H3" s="191">
        <v>0</v>
      </c>
      <c r="I3" s="164">
        <v>41826.823</v>
      </c>
      <c r="J3" s="164">
        <f>46030.69627+8123.06408</f>
        <v>54153.76035</v>
      </c>
      <c r="K3" s="66">
        <f>30778.665+27030.095</f>
        <v>57808.76</v>
      </c>
      <c r="L3" s="66">
        <f>F3-I3-J3-K3</f>
        <v>5051.609650000006</v>
      </c>
      <c r="M3" s="65">
        <v>0</v>
      </c>
      <c r="N3" s="65">
        <v>0</v>
      </c>
      <c r="O3" s="137">
        <v>0</v>
      </c>
    </row>
    <row r="4" spans="1:15" ht="29.25" customHeight="1">
      <c r="A4" s="159" t="s">
        <v>42</v>
      </c>
      <c r="B4" s="57">
        <v>1</v>
      </c>
      <c r="C4" s="58" t="s">
        <v>2</v>
      </c>
      <c r="D4" s="59" t="s">
        <v>7</v>
      </c>
      <c r="E4" s="67">
        <f>(301369080*30.126)/1000000</f>
        <v>9079.04490408</v>
      </c>
      <c r="F4" s="67">
        <f>288178955/1000</f>
        <v>288178.955</v>
      </c>
      <c r="G4" s="192">
        <v>0</v>
      </c>
      <c r="H4" s="165">
        <v>0</v>
      </c>
      <c r="I4" s="165">
        <v>0</v>
      </c>
      <c r="J4" s="165">
        <f>61736.786+10894.727</f>
        <v>72631.513</v>
      </c>
      <c r="K4" s="69">
        <v>79392.441</v>
      </c>
      <c r="L4" s="70">
        <v>69393.676</v>
      </c>
      <c r="M4" s="71">
        <v>49028.375</v>
      </c>
      <c r="N4" s="69">
        <f>F4-I4-J4-K4-L4-M4</f>
        <v>17732.949999999983</v>
      </c>
      <c r="O4" s="138">
        <v>0</v>
      </c>
    </row>
    <row r="5" spans="1:15" ht="29.25" customHeight="1">
      <c r="A5" s="159" t="s">
        <v>43</v>
      </c>
      <c r="B5" s="57">
        <v>1</v>
      </c>
      <c r="C5" s="58" t="s">
        <v>2</v>
      </c>
      <c r="D5" s="59" t="s">
        <v>16</v>
      </c>
      <c r="E5" s="67">
        <f>(327507000*30.126)/1000000</f>
        <v>9866.475882</v>
      </c>
      <c r="F5" s="72">
        <v>303591.65</v>
      </c>
      <c r="G5" s="192">
        <v>0</v>
      </c>
      <c r="H5" s="165">
        <v>0</v>
      </c>
      <c r="I5" s="165">
        <v>0</v>
      </c>
      <c r="J5" s="165">
        <v>0</v>
      </c>
      <c r="K5" s="68">
        <v>52009.37</v>
      </c>
      <c r="L5" s="68">
        <v>85500</v>
      </c>
      <c r="M5" s="69">
        <v>87000</v>
      </c>
      <c r="N5" s="68">
        <v>51156.098</v>
      </c>
      <c r="O5" s="138">
        <f>F5-K5-L5-M5-N5</f>
        <v>27926.18200000003</v>
      </c>
    </row>
    <row r="6" spans="1:15" ht="29.25" customHeight="1">
      <c r="A6" s="159" t="s">
        <v>44</v>
      </c>
      <c r="B6" s="57">
        <v>1</v>
      </c>
      <c r="C6" s="58" t="s">
        <v>2</v>
      </c>
      <c r="D6" s="59" t="s">
        <v>49</v>
      </c>
      <c r="E6" s="67">
        <f>(302307329*30.126)/1000000</f>
        <v>9107.310593454</v>
      </c>
      <c r="F6" s="72">
        <v>317257.652</v>
      </c>
      <c r="G6" s="192">
        <v>0</v>
      </c>
      <c r="H6" s="165">
        <v>0</v>
      </c>
      <c r="I6" s="165">
        <v>0</v>
      </c>
      <c r="J6" s="166">
        <v>17084.739</v>
      </c>
      <c r="K6" s="69">
        <f>31703.743+5594.779</f>
        <v>37298.522</v>
      </c>
      <c r="L6" s="69">
        <v>105126.894</v>
      </c>
      <c r="M6" s="69">
        <v>104882.292</v>
      </c>
      <c r="N6" s="69">
        <v>32055.302</v>
      </c>
      <c r="O6" s="138">
        <f>F6-J6-K6-L6-M6-N6</f>
        <v>20809.903000000002</v>
      </c>
    </row>
    <row r="7" spans="1:15" ht="29.25" customHeight="1">
      <c r="A7" s="159" t="s">
        <v>45</v>
      </c>
      <c r="B7" s="73">
        <v>1</v>
      </c>
      <c r="C7" s="74" t="s">
        <v>2</v>
      </c>
      <c r="D7" s="75" t="s">
        <v>50</v>
      </c>
      <c r="E7" s="76">
        <v>3340</v>
      </c>
      <c r="F7" s="171">
        <f>3340000/30.126</f>
        <v>110867.68903936798</v>
      </c>
      <c r="G7" s="192">
        <v>0</v>
      </c>
      <c r="H7" s="165">
        <v>0</v>
      </c>
      <c r="I7" s="165">
        <v>0</v>
      </c>
      <c r="J7" s="165">
        <v>0</v>
      </c>
      <c r="K7" s="77">
        <v>0</v>
      </c>
      <c r="L7" s="77">
        <v>0</v>
      </c>
      <c r="M7" s="77">
        <v>0</v>
      </c>
      <c r="N7" s="77">
        <v>64587.25</v>
      </c>
      <c r="O7" s="139">
        <v>46280.44</v>
      </c>
    </row>
    <row r="8" spans="1:15" ht="29.25" customHeight="1">
      <c r="A8" s="3">
        <v>3</v>
      </c>
      <c r="B8" s="57">
        <v>1</v>
      </c>
      <c r="C8" s="58" t="s">
        <v>2</v>
      </c>
      <c r="D8" s="59" t="s">
        <v>10</v>
      </c>
      <c r="E8" s="67">
        <f>(137903048*30.126)/1000000</f>
        <v>4154.467224048</v>
      </c>
      <c r="F8" s="72">
        <v>131758.969</v>
      </c>
      <c r="G8" s="192">
        <v>0</v>
      </c>
      <c r="H8" s="165">
        <v>0</v>
      </c>
      <c r="I8" s="165">
        <v>0</v>
      </c>
      <c r="J8" s="166">
        <v>39743.187</v>
      </c>
      <c r="K8" s="69">
        <f>53137.986+9377.292+4290.316</f>
        <v>66805.594</v>
      </c>
      <c r="L8" s="69">
        <f>F8-J8-K8-M8</f>
        <v>19828.16800000001</v>
      </c>
      <c r="M8" s="68">
        <v>5382.02</v>
      </c>
      <c r="N8" s="68">
        <v>0</v>
      </c>
      <c r="O8" s="138">
        <v>0</v>
      </c>
    </row>
    <row r="9" spans="1:15" ht="29.25" customHeight="1">
      <c r="A9" s="3">
        <v>4</v>
      </c>
      <c r="B9" s="57">
        <v>1</v>
      </c>
      <c r="C9" s="58" t="s">
        <v>2</v>
      </c>
      <c r="D9" s="59" t="s">
        <v>11</v>
      </c>
      <c r="E9" s="67">
        <f>(53110270*30.126)/1000000</f>
        <v>1599.99999402</v>
      </c>
      <c r="F9" s="72">
        <f>53110270/1000</f>
        <v>53110.27</v>
      </c>
      <c r="G9" s="192">
        <v>0</v>
      </c>
      <c r="H9" s="165">
        <v>0</v>
      </c>
      <c r="I9" s="165">
        <v>0</v>
      </c>
      <c r="J9" s="165">
        <v>0</v>
      </c>
      <c r="K9" s="68">
        <v>0</v>
      </c>
      <c r="L9" s="70">
        <v>0</v>
      </c>
      <c r="M9" s="68">
        <v>17703.42</v>
      </c>
      <c r="N9" s="68">
        <v>17703.42</v>
      </c>
      <c r="O9" s="138">
        <f>F9-M9-N9</f>
        <v>17703.43</v>
      </c>
    </row>
    <row r="10" spans="1:15" ht="29.25" customHeight="1">
      <c r="A10" s="3">
        <v>5</v>
      </c>
      <c r="B10" s="57">
        <v>1</v>
      </c>
      <c r="C10" s="58" t="s">
        <v>2</v>
      </c>
      <c r="D10" s="59" t="s">
        <v>34</v>
      </c>
      <c r="E10" s="67">
        <f>F10*30.126/1000</f>
        <v>2273.161788648</v>
      </c>
      <c r="F10" s="72">
        <v>75455.148</v>
      </c>
      <c r="G10" s="192">
        <v>0</v>
      </c>
      <c r="H10" s="165">
        <v>0</v>
      </c>
      <c r="I10" s="166">
        <v>757.778</v>
      </c>
      <c r="J10" s="166">
        <f>1145.205+202.095</f>
        <v>1347.3</v>
      </c>
      <c r="K10" s="69">
        <f>3457.623+610.169+8075+1425</f>
        <v>13567.792</v>
      </c>
      <c r="L10" s="69">
        <v>16000</v>
      </c>
      <c r="M10" s="69">
        <v>13880</v>
      </c>
      <c r="N10" s="68">
        <v>16405.44</v>
      </c>
      <c r="O10" s="138">
        <f>F10-I10-J10-K10-L10-M10-N10</f>
        <v>13496.837999999992</v>
      </c>
    </row>
    <row r="11" spans="1:15" ht="29.25" customHeight="1">
      <c r="A11" s="159" t="s">
        <v>46</v>
      </c>
      <c r="B11" s="73">
        <v>1</v>
      </c>
      <c r="C11" s="74" t="s">
        <v>2</v>
      </c>
      <c r="D11" s="75" t="s">
        <v>9</v>
      </c>
      <c r="E11" s="76">
        <v>9320</v>
      </c>
      <c r="F11" s="171">
        <f>9320000/30.126</f>
        <v>309367.32390626037</v>
      </c>
      <c r="G11" s="192">
        <v>0</v>
      </c>
      <c r="H11" s="165">
        <v>0</v>
      </c>
      <c r="I11" s="165">
        <v>0</v>
      </c>
      <c r="J11" s="165">
        <v>0</v>
      </c>
      <c r="K11" s="77">
        <v>0</v>
      </c>
      <c r="L11" s="77">
        <v>0</v>
      </c>
      <c r="M11" s="77">
        <v>0</v>
      </c>
      <c r="N11" s="77">
        <v>67258.56</v>
      </c>
      <c r="O11" s="139">
        <v>72.569</v>
      </c>
    </row>
    <row r="12" spans="1:15" ht="29.25" customHeight="1">
      <c r="A12" s="159" t="s">
        <v>47</v>
      </c>
      <c r="B12" s="78">
        <v>1</v>
      </c>
      <c r="C12" s="79" t="s">
        <v>2</v>
      </c>
      <c r="D12" s="80" t="s">
        <v>8</v>
      </c>
      <c r="E12" s="81">
        <v>6690</v>
      </c>
      <c r="F12" s="172">
        <f>6690000/30.126</f>
        <v>222067.31726747658</v>
      </c>
      <c r="G12" s="190">
        <v>0</v>
      </c>
      <c r="H12" s="191">
        <v>0</v>
      </c>
      <c r="I12" s="191">
        <v>0</v>
      </c>
      <c r="J12" s="191">
        <v>0</v>
      </c>
      <c r="K12" s="82">
        <v>0</v>
      </c>
      <c r="L12" s="82">
        <v>0</v>
      </c>
      <c r="M12" s="82">
        <v>0</v>
      </c>
      <c r="N12" s="82">
        <v>45280</v>
      </c>
      <c r="O12" s="140">
        <v>68582.5</v>
      </c>
    </row>
    <row r="13" spans="1:15" ht="29.25" customHeight="1">
      <c r="A13" s="159">
        <v>7</v>
      </c>
      <c r="B13" s="73">
        <v>1</v>
      </c>
      <c r="C13" s="74" t="s">
        <v>2</v>
      </c>
      <c r="D13" s="75" t="s">
        <v>20</v>
      </c>
      <c r="E13" s="76">
        <v>2460</v>
      </c>
      <c r="F13" s="171">
        <f>2460000/30.126</f>
        <v>81657.04043019318</v>
      </c>
      <c r="G13" s="192">
        <v>0</v>
      </c>
      <c r="H13" s="169">
        <v>0</v>
      </c>
      <c r="I13" s="169">
        <v>0</v>
      </c>
      <c r="J13" s="169">
        <v>0</v>
      </c>
      <c r="K13" s="83">
        <v>0</v>
      </c>
      <c r="L13" s="77">
        <v>0</v>
      </c>
      <c r="M13" s="77">
        <v>0</v>
      </c>
      <c r="N13" s="77">
        <v>30150</v>
      </c>
      <c r="O13" s="139">
        <v>51507.04</v>
      </c>
    </row>
    <row r="14" spans="1:15" ht="29.25" customHeight="1" thickBot="1">
      <c r="A14" s="159">
        <v>8</v>
      </c>
      <c r="B14" s="84">
        <v>1</v>
      </c>
      <c r="C14" s="85" t="s">
        <v>2</v>
      </c>
      <c r="D14" s="86" t="s">
        <v>12</v>
      </c>
      <c r="E14" s="87">
        <v>100</v>
      </c>
      <c r="F14" s="173">
        <v>3950.07634</v>
      </c>
      <c r="G14" s="193">
        <v>0</v>
      </c>
      <c r="H14" s="194">
        <v>0</v>
      </c>
      <c r="I14" s="194">
        <v>0</v>
      </c>
      <c r="J14" s="194">
        <v>0</v>
      </c>
      <c r="K14" s="88">
        <v>0</v>
      </c>
      <c r="L14" s="88">
        <v>0</v>
      </c>
      <c r="M14" s="88">
        <v>0</v>
      </c>
      <c r="N14" s="88">
        <v>1689</v>
      </c>
      <c r="O14" s="141">
        <f>F14-N14</f>
        <v>2261.07634</v>
      </c>
    </row>
    <row r="15" spans="1:15" ht="29.25" customHeight="1">
      <c r="A15" s="159">
        <v>9</v>
      </c>
      <c r="B15" s="112">
        <v>3</v>
      </c>
      <c r="C15" s="113" t="s">
        <v>2</v>
      </c>
      <c r="D15" s="114" t="s">
        <v>32</v>
      </c>
      <c r="E15" s="115">
        <f>(458985*30.126)/1000000</f>
        <v>13.827382110000002</v>
      </c>
      <c r="F15" s="174">
        <f>458985/1000</f>
        <v>458.985</v>
      </c>
      <c r="G15" s="195">
        <v>0</v>
      </c>
      <c r="H15" s="168">
        <v>0</v>
      </c>
      <c r="I15" s="167">
        <v>337.315</v>
      </c>
      <c r="J15" s="168">
        <f>-303.16</f>
        <v>-303.16</v>
      </c>
      <c r="K15" s="123">
        <v>0</v>
      </c>
      <c r="L15" s="123">
        <v>0</v>
      </c>
      <c r="M15" s="116">
        <v>0</v>
      </c>
      <c r="N15" s="116">
        <v>0</v>
      </c>
      <c r="O15" s="142">
        <v>0</v>
      </c>
    </row>
    <row r="16" spans="1:15" ht="29.25" customHeight="1">
      <c r="A16" s="159"/>
      <c r="B16" s="57">
        <v>3</v>
      </c>
      <c r="C16" s="58" t="s">
        <v>2</v>
      </c>
      <c r="D16" s="59" t="s">
        <v>33</v>
      </c>
      <c r="E16" s="117">
        <f>(33082270*30.126)/1000000</f>
        <v>996.63646602</v>
      </c>
      <c r="F16" s="175">
        <v>39000</v>
      </c>
      <c r="G16" s="196">
        <v>0</v>
      </c>
      <c r="H16" s="191">
        <v>0</v>
      </c>
      <c r="I16" s="191">
        <v>0</v>
      </c>
      <c r="J16" s="191">
        <v>0</v>
      </c>
      <c r="K16" s="122">
        <v>0</v>
      </c>
      <c r="L16" s="122">
        <v>9968.05</v>
      </c>
      <c r="M16" s="65">
        <v>9267</v>
      </c>
      <c r="N16" s="65">
        <f>F16-L16-M16</f>
        <v>19764.95</v>
      </c>
      <c r="O16" s="137">
        <v>0</v>
      </c>
    </row>
    <row r="17" spans="1:15" ht="29.25" customHeight="1">
      <c r="A17" s="56">
        <v>10</v>
      </c>
      <c r="B17" s="57">
        <v>3</v>
      </c>
      <c r="C17" s="58" t="s">
        <v>2</v>
      </c>
      <c r="D17" s="59" t="s">
        <v>48</v>
      </c>
      <c r="E17" s="118">
        <f>(32530040*30.126)/1000000</f>
        <v>979.9999850400001</v>
      </c>
      <c r="F17" s="176">
        <f>39000+411</f>
        <v>39411</v>
      </c>
      <c r="G17" s="197">
        <v>0</v>
      </c>
      <c r="H17" s="165">
        <v>0</v>
      </c>
      <c r="I17" s="165">
        <v>0</v>
      </c>
      <c r="J17" s="165">
        <v>0</v>
      </c>
      <c r="K17" s="68">
        <f>349.349+61.649</f>
        <v>410.998</v>
      </c>
      <c r="L17" s="68">
        <v>0</v>
      </c>
      <c r="M17" s="68">
        <v>14400</v>
      </c>
      <c r="N17" s="68">
        <v>15469.96</v>
      </c>
      <c r="O17" s="138">
        <f>F17-K17-L17-M17-N17</f>
        <v>9130.042000000001</v>
      </c>
    </row>
    <row r="18" spans="1:15" ht="29.25" customHeight="1">
      <c r="A18" s="56">
        <v>11</v>
      </c>
      <c r="B18" s="57">
        <v>3</v>
      </c>
      <c r="C18" s="58" t="s">
        <v>2</v>
      </c>
      <c r="D18" s="59" t="s">
        <v>21</v>
      </c>
      <c r="E18" s="118">
        <f>(16265020*30.126)/1000000</f>
        <v>489.99999252000003</v>
      </c>
      <c r="F18" s="176">
        <v>39407</v>
      </c>
      <c r="G18" s="197">
        <v>0</v>
      </c>
      <c r="H18" s="165">
        <v>0</v>
      </c>
      <c r="I18" s="165">
        <v>0</v>
      </c>
      <c r="J18" s="165">
        <f>284.453</f>
        <v>284.453</v>
      </c>
      <c r="K18" s="68">
        <v>122</v>
      </c>
      <c r="L18" s="68">
        <v>0</v>
      </c>
      <c r="M18" s="68">
        <v>12500</v>
      </c>
      <c r="N18" s="68">
        <v>12500</v>
      </c>
      <c r="O18" s="138">
        <f>F18-J18-K18-L18-M18-N18</f>
        <v>14000.546999999999</v>
      </c>
    </row>
    <row r="19" spans="1:15" ht="29.25" customHeight="1">
      <c r="A19" s="56">
        <v>12</v>
      </c>
      <c r="B19" s="163">
        <v>3</v>
      </c>
      <c r="C19" s="160" t="s">
        <v>2</v>
      </c>
      <c r="D19" s="161" t="s">
        <v>17</v>
      </c>
      <c r="E19" s="106">
        <f>(34718700*30.126)/1000000</f>
        <v>1045.9355562</v>
      </c>
      <c r="F19" s="177">
        <v>39411</v>
      </c>
      <c r="G19" s="198">
        <v>0</v>
      </c>
      <c r="H19" s="169">
        <v>0</v>
      </c>
      <c r="I19" s="169">
        <v>0</v>
      </c>
      <c r="J19" s="170">
        <f>211.79</f>
        <v>211.79</v>
      </c>
      <c r="K19" s="162">
        <v>199</v>
      </c>
      <c r="L19" s="70">
        <v>0</v>
      </c>
      <c r="M19" s="70">
        <f>4442454/1000</f>
        <v>4442.454</v>
      </c>
      <c r="N19" s="70">
        <v>6903.523</v>
      </c>
      <c r="O19" s="150">
        <f>F19-J19-K19-L19-M19-N19</f>
        <v>27654.233</v>
      </c>
    </row>
    <row r="20" spans="1:15" ht="29.25" customHeight="1" thickBot="1">
      <c r="A20" s="56">
        <v>13</v>
      </c>
      <c r="B20" s="89">
        <v>3</v>
      </c>
      <c r="C20" s="90" t="s">
        <v>2</v>
      </c>
      <c r="D20" s="86" t="s">
        <v>22</v>
      </c>
      <c r="E20" s="91">
        <v>330</v>
      </c>
      <c r="F20" s="178">
        <v>1100</v>
      </c>
      <c r="G20" s="199">
        <v>0</v>
      </c>
      <c r="H20" s="200">
        <v>0</v>
      </c>
      <c r="I20" s="200">
        <v>0</v>
      </c>
      <c r="J20" s="200">
        <v>0</v>
      </c>
      <c r="K20" s="92">
        <v>0</v>
      </c>
      <c r="L20" s="92">
        <v>0</v>
      </c>
      <c r="M20" s="92">
        <v>0</v>
      </c>
      <c r="N20" s="92">
        <v>0</v>
      </c>
      <c r="O20" s="143">
        <v>0</v>
      </c>
    </row>
    <row r="21" spans="1:15" ht="29.25" customHeight="1" thickTop="1">
      <c r="A21" s="56">
        <v>14</v>
      </c>
      <c r="B21" s="57">
        <v>3</v>
      </c>
      <c r="C21" s="58" t="s">
        <v>2</v>
      </c>
      <c r="D21" s="59" t="s">
        <v>29</v>
      </c>
      <c r="E21" s="119">
        <f>(3319390*30.126)/1000000</f>
        <v>99.99994314</v>
      </c>
      <c r="F21" s="176">
        <f>3319390/1000</f>
        <v>3319.39</v>
      </c>
      <c r="G21" s="197">
        <v>0</v>
      </c>
      <c r="H21" s="165">
        <v>0</v>
      </c>
      <c r="I21" s="165">
        <v>0</v>
      </c>
      <c r="J21" s="165">
        <v>0</v>
      </c>
      <c r="K21" s="68">
        <v>0</v>
      </c>
      <c r="L21" s="68">
        <f>F21-G21-H21-I21-J21-K21</f>
        <v>3319.39</v>
      </c>
      <c r="M21" s="68">
        <v>0</v>
      </c>
      <c r="N21" s="68">
        <v>0</v>
      </c>
      <c r="O21" s="138">
        <v>0</v>
      </c>
    </row>
    <row r="22" spans="1:15" ht="29.25" customHeight="1">
      <c r="A22" s="56">
        <v>15</v>
      </c>
      <c r="B22" s="60">
        <v>4</v>
      </c>
      <c r="C22" s="61" t="s">
        <v>2</v>
      </c>
      <c r="D22" s="120" t="s">
        <v>53</v>
      </c>
      <c r="E22" s="121">
        <f>(50454760*30.126)/1000000</f>
        <v>1520.00009976</v>
      </c>
      <c r="F22" s="179">
        <f>50454760/1000</f>
        <v>50454.76</v>
      </c>
      <c r="G22" s="201">
        <v>0</v>
      </c>
      <c r="H22" s="202">
        <v>0</v>
      </c>
      <c r="I22" s="202">
        <v>0</v>
      </c>
      <c r="J22" s="202">
        <v>0</v>
      </c>
      <c r="K22" s="122">
        <v>0</v>
      </c>
      <c r="L22" s="122">
        <v>9958.18</v>
      </c>
      <c r="M22" s="122">
        <v>13277.57</v>
      </c>
      <c r="N22" s="70">
        <f>F22-L22-M22</f>
        <v>27219.010000000002</v>
      </c>
      <c r="O22" s="144"/>
    </row>
    <row r="23" spans="1:15" s="5" customFormat="1" ht="29.25" customHeight="1">
      <c r="A23" s="56"/>
      <c r="B23" s="57">
        <v>4</v>
      </c>
      <c r="C23" s="58" t="s">
        <v>2</v>
      </c>
      <c r="D23" s="59" t="s">
        <v>54</v>
      </c>
      <c r="E23" s="105">
        <f>(419571130*30.126)/1000000</f>
        <v>12639.99986238</v>
      </c>
      <c r="F23" s="180">
        <f>419571130/1000</f>
        <v>419571.13</v>
      </c>
      <c r="G23" s="203">
        <v>0</v>
      </c>
      <c r="H23" s="169">
        <v>0</v>
      </c>
      <c r="I23" s="169">
        <v>0</v>
      </c>
      <c r="J23" s="169">
        <v>0</v>
      </c>
      <c r="K23" s="70">
        <v>0</v>
      </c>
      <c r="L23" s="70">
        <v>60991.181</v>
      </c>
      <c r="M23" s="70">
        <v>89287.84</v>
      </c>
      <c r="N23" s="70">
        <v>128925.274</v>
      </c>
      <c r="O23" s="145">
        <f>F23-L23-M23-N23</f>
        <v>140366.83500000005</v>
      </c>
    </row>
    <row r="24" spans="1:15" s="5" customFormat="1" ht="31.5" customHeight="1">
      <c r="A24" s="56"/>
      <c r="B24" s="57">
        <v>4</v>
      </c>
      <c r="C24" s="107" t="s">
        <v>2</v>
      </c>
      <c r="D24" s="108" t="s">
        <v>23</v>
      </c>
      <c r="E24" s="105">
        <f>(42488220*30.126)/1000000</f>
        <v>1280.00011572</v>
      </c>
      <c r="F24" s="181">
        <f>42488220/1000</f>
        <v>42488.22</v>
      </c>
      <c r="G24" s="203">
        <v>0</v>
      </c>
      <c r="H24" s="169">
        <v>0</v>
      </c>
      <c r="I24" s="169">
        <v>0</v>
      </c>
      <c r="J24" s="169">
        <v>0</v>
      </c>
      <c r="K24" s="70">
        <v>0</v>
      </c>
      <c r="L24" s="70">
        <v>8163.7</v>
      </c>
      <c r="M24" s="70">
        <f>F24-J24-K24-L24</f>
        <v>34324.520000000004</v>
      </c>
      <c r="N24" s="70">
        <v>0</v>
      </c>
      <c r="O24" s="145">
        <v>0</v>
      </c>
    </row>
    <row r="25" spans="1:15" ht="29.25" customHeight="1">
      <c r="A25" s="56"/>
      <c r="B25" s="73">
        <v>4</v>
      </c>
      <c r="C25" s="85" t="s">
        <v>2</v>
      </c>
      <c r="D25" s="93" t="s">
        <v>27</v>
      </c>
      <c r="E25" s="94">
        <v>470</v>
      </c>
      <c r="F25" s="182">
        <f>470000/30.126</f>
        <v>15601.141870809268</v>
      </c>
      <c r="G25" s="204">
        <v>0</v>
      </c>
      <c r="H25" s="205">
        <v>0</v>
      </c>
      <c r="I25" s="205">
        <v>0</v>
      </c>
      <c r="J25" s="205">
        <v>0</v>
      </c>
      <c r="K25" s="95">
        <v>0</v>
      </c>
      <c r="L25" s="95">
        <v>0</v>
      </c>
      <c r="M25" s="95">
        <v>0</v>
      </c>
      <c r="N25" s="83">
        <v>0</v>
      </c>
      <c r="O25" s="146">
        <v>0</v>
      </c>
    </row>
    <row r="26" spans="1:15" ht="29.25" customHeight="1" thickBot="1">
      <c r="A26" s="156"/>
      <c r="B26" s="96">
        <v>4</v>
      </c>
      <c r="C26" s="97" t="s">
        <v>2</v>
      </c>
      <c r="D26" s="98" t="s">
        <v>28</v>
      </c>
      <c r="E26" s="99">
        <v>820</v>
      </c>
      <c r="F26" s="183">
        <f>820000/30.126</f>
        <v>27219.013476731063</v>
      </c>
      <c r="G26" s="206">
        <v>0</v>
      </c>
      <c r="H26" s="207">
        <v>0</v>
      </c>
      <c r="I26" s="207">
        <v>0</v>
      </c>
      <c r="J26" s="207">
        <v>0</v>
      </c>
      <c r="K26" s="100">
        <v>0</v>
      </c>
      <c r="L26" s="100">
        <v>0</v>
      </c>
      <c r="M26" s="100">
        <v>0</v>
      </c>
      <c r="N26" s="100">
        <v>0</v>
      </c>
      <c r="O26" s="147">
        <v>0</v>
      </c>
    </row>
    <row r="27" spans="1:15" ht="29.25" customHeight="1">
      <c r="A27" s="148"/>
      <c r="B27" s="78">
        <v>4</v>
      </c>
      <c r="C27" s="101" t="s">
        <v>2</v>
      </c>
      <c r="D27" s="102" t="s">
        <v>26</v>
      </c>
      <c r="E27" s="103">
        <v>360</v>
      </c>
      <c r="F27" s="184">
        <f>360000/30.126</f>
        <v>11949.810794662417</v>
      </c>
      <c r="G27" s="208">
        <v>0</v>
      </c>
      <c r="H27" s="209">
        <v>0</v>
      </c>
      <c r="I27" s="209">
        <v>0</v>
      </c>
      <c r="J27" s="209">
        <v>0</v>
      </c>
      <c r="K27" s="104">
        <v>0</v>
      </c>
      <c r="L27" s="104">
        <v>0</v>
      </c>
      <c r="M27" s="104">
        <v>0</v>
      </c>
      <c r="N27" s="104">
        <v>0</v>
      </c>
      <c r="O27" s="149">
        <v>0</v>
      </c>
    </row>
    <row r="28" spans="1:15" ht="29.25" customHeight="1">
      <c r="A28" s="56"/>
      <c r="B28" s="73">
        <v>4</v>
      </c>
      <c r="C28" s="85" t="s">
        <v>2</v>
      </c>
      <c r="D28" s="93" t="s">
        <v>41</v>
      </c>
      <c r="E28" s="94">
        <v>1150</v>
      </c>
      <c r="F28" s="182">
        <v>38173.01</v>
      </c>
      <c r="G28" s="204">
        <v>0</v>
      </c>
      <c r="H28" s="205">
        <v>0</v>
      </c>
      <c r="I28" s="205">
        <v>0</v>
      </c>
      <c r="J28" s="205">
        <v>0</v>
      </c>
      <c r="K28" s="95">
        <v>0</v>
      </c>
      <c r="L28" s="95">
        <v>0</v>
      </c>
      <c r="M28" s="95">
        <v>0</v>
      </c>
      <c r="N28" s="83">
        <v>0</v>
      </c>
      <c r="O28" s="146">
        <v>0</v>
      </c>
    </row>
    <row r="29" spans="1:15" ht="29.25" customHeight="1">
      <c r="A29" s="56">
        <v>16</v>
      </c>
      <c r="B29" s="57">
        <v>4</v>
      </c>
      <c r="C29" s="58" t="s">
        <v>2</v>
      </c>
      <c r="D29" s="59" t="s">
        <v>37</v>
      </c>
      <c r="E29" s="105">
        <f>(161098*30.126)/1000000</f>
        <v>4.8532383480000005</v>
      </c>
      <c r="F29" s="180">
        <v>161.1</v>
      </c>
      <c r="G29" s="203">
        <v>0</v>
      </c>
      <c r="H29" s="169">
        <v>0</v>
      </c>
      <c r="I29" s="169">
        <f>112.768</f>
        <v>112.768</v>
      </c>
      <c r="J29" s="169">
        <v>48.329</v>
      </c>
      <c r="K29" s="70">
        <v>0</v>
      </c>
      <c r="L29" s="70">
        <v>0</v>
      </c>
      <c r="M29" s="70">
        <v>0</v>
      </c>
      <c r="N29" s="70">
        <v>0</v>
      </c>
      <c r="O29" s="150">
        <v>0</v>
      </c>
    </row>
    <row r="30" spans="1:15" ht="29.25" customHeight="1">
      <c r="A30" s="56"/>
      <c r="B30" s="57">
        <v>4</v>
      </c>
      <c r="C30" s="107" t="s">
        <v>2</v>
      </c>
      <c r="D30" s="108" t="s">
        <v>24</v>
      </c>
      <c r="E30" s="105">
        <f>(36336450*30.126)/1000000</f>
        <v>1094.6718927</v>
      </c>
      <c r="F30" s="181">
        <v>39336.45</v>
      </c>
      <c r="G30" s="203">
        <v>0</v>
      </c>
      <c r="H30" s="169">
        <v>0</v>
      </c>
      <c r="I30" s="169">
        <v>0</v>
      </c>
      <c r="J30" s="169">
        <v>0</v>
      </c>
      <c r="K30" s="70">
        <v>0</v>
      </c>
      <c r="L30" s="70">
        <v>19668.23</v>
      </c>
      <c r="M30" s="70">
        <f>F30-L30</f>
        <v>19668.219999999998</v>
      </c>
      <c r="N30" s="70">
        <v>0</v>
      </c>
      <c r="O30" s="145">
        <v>0</v>
      </c>
    </row>
    <row r="31" spans="1:15" ht="29.25" customHeight="1">
      <c r="A31" s="56">
        <v>17</v>
      </c>
      <c r="B31" s="57">
        <v>4</v>
      </c>
      <c r="C31" s="58" t="s">
        <v>2</v>
      </c>
      <c r="D31" s="59" t="s">
        <v>36</v>
      </c>
      <c r="E31" s="105">
        <f>(125600*30.126)/1000000</f>
        <v>3.7838256</v>
      </c>
      <c r="F31" s="180">
        <f>125600/1000</f>
        <v>125.6</v>
      </c>
      <c r="G31" s="203">
        <v>0</v>
      </c>
      <c r="H31" s="169">
        <v>0</v>
      </c>
      <c r="I31" s="169">
        <v>0</v>
      </c>
      <c r="J31" s="169">
        <v>125.6</v>
      </c>
      <c r="K31" s="70">
        <v>0</v>
      </c>
      <c r="L31" s="70">
        <v>0</v>
      </c>
      <c r="M31" s="70">
        <v>0</v>
      </c>
      <c r="N31" s="70">
        <v>0</v>
      </c>
      <c r="O31" s="150">
        <v>0</v>
      </c>
    </row>
    <row r="32" spans="1:15" ht="29.25" customHeight="1" thickBot="1">
      <c r="A32" s="56">
        <v>18</v>
      </c>
      <c r="B32" s="57">
        <v>4</v>
      </c>
      <c r="C32" s="57" t="s">
        <v>2</v>
      </c>
      <c r="D32" s="110" t="s">
        <v>25</v>
      </c>
      <c r="E32" s="111">
        <f>(44559520*30.126)/1000000</f>
        <v>1342.40009952</v>
      </c>
      <c r="F32" s="185">
        <f>44559520/1000</f>
        <v>44559.52</v>
      </c>
      <c r="G32" s="210">
        <v>0</v>
      </c>
      <c r="H32" s="211">
        <v>0</v>
      </c>
      <c r="I32" s="211">
        <v>119.83</v>
      </c>
      <c r="J32" s="211">
        <v>1.67</v>
      </c>
      <c r="K32" s="124">
        <v>18693</v>
      </c>
      <c r="L32" s="124">
        <v>18693</v>
      </c>
      <c r="M32" s="124">
        <f>F32-I32-J32-K32-L32</f>
        <v>7052.019999999997</v>
      </c>
      <c r="N32" s="124">
        <v>0</v>
      </c>
      <c r="O32" s="151">
        <v>0</v>
      </c>
    </row>
    <row r="33" spans="1:15" ht="29.25" customHeight="1" thickBot="1" thickTop="1">
      <c r="A33" s="56"/>
      <c r="B33" s="57">
        <v>4</v>
      </c>
      <c r="C33" s="58" t="s">
        <v>2</v>
      </c>
      <c r="D33" s="62" t="s">
        <v>35</v>
      </c>
      <c r="E33" s="109">
        <f>(121500*30.126)/1000000</f>
        <v>3.660309</v>
      </c>
      <c r="F33" s="186">
        <f>121500/1000</f>
        <v>121.5</v>
      </c>
      <c r="G33" s="203">
        <v>0</v>
      </c>
      <c r="H33" s="169">
        <v>0</v>
      </c>
      <c r="I33" s="169">
        <v>119.83</v>
      </c>
      <c r="J33" s="169">
        <v>1.669</v>
      </c>
      <c r="K33" s="70">
        <v>0</v>
      </c>
      <c r="L33" s="70">
        <v>0</v>
      </c>
      <c r="M33" s="70">
        <v>0</v>
      </c>
      <c r="N33" s="70">
        <v>0</v>
      </c>
      <c r="O33" s="150">
        <v>0</v>
      </c>
    </row>
    <row r="34" spans="1:15" ht="29.25" customHeight="1">
      <c r="A34" s="56">
        <v>19</v>
      </c>
      <c r="B34" s="125" t="s">
        <v>3</v>
      </c>
      <c r="C34" s="126" t="s">
        <v>3</v>
      </c>
      <c r="D34" s="127" t="s">
        <v>15</v>
      </c>
      <c r="E34" s="128">
        <v>5050</v>
      </c>
      <c r="F34" s="187">
        <f>SUM(G34:O34)</f>
        <v>150.56000000000003</v>
      </c>
      <c r="G34" s="129">
        <v>0</v>
      </c>
      <c r="H34" s="130">
        <v>2.32</v>
      </c>
      <c r="I34" s="130">
        <v>0.02</v>
      </c>
      <c r="J34" s="130">
        <v>2.2</v>
      </c>
      <c r="K34" s="130">
        <v>30.54</v>
      </c>
      <c r="L34" s="130">
        <v>36.95</v>
      </c>
      <c r="M34" s="130">
        <v>38.77</v>
      </c>
      <c r="N34" s="130">
        <v>29.8</v>
      </c>
      <c r="O34" s="152">
        <v>9.96</v>
      </c>
    </row>
    <row r="35" spans="1:15" ht="29.25" customHeight="1">
      <c r="A35" s="56">
        <v>20</v>
      </c>
      <c r="B35" s="125" t="s">
        <v>3</v>
      </c>
      <c r="C35" s="126" t="s">
        <v>3</v>
      </c>
      <c r="D35" s="127" t="s">
        <v>30</v>
      </c>
      <c r="E35" s="131">
        <v>400</v>
      </c>
      <c r="F35" s="188">
        <f>SUM(G35:O35)</f>
        <v>9.350999999999999</v>
      </c>
      <c r="G35" s="132">
        <v>2.82</v>
      </c>
      <c r="H35" s="133">
        <v>4.296</v>
      </c>
      <c r="I35" s="133">
        <v>2.235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53">
        <v>0</v>
      </c>
    </row>
    <row r="36" spans="1:15" ht="29.25" customHeight="1">
      <c r="A36" s="56">
        <v>21</v>
      </c>
      <c r="B36" s="125" t="s">
        <v>3</v>
      </c>
      <c r="C36" s="126" t="s">
        <v>3</v>
      </c>
      <c r="D36" s="134" t="s">
        <v>13</v>
      </c>
      <c r="E36" s="135">
        <v>0</v>
      </c>
      <c r="F36" s="188">
        <v>8.4</v>
      </c>
      <c r="G36" s="132">
        <v>0</v>
      </c>
      <c r="H36" s="133">
        <v>0</v>
      </c>
      <c r="I36" s="133">
        <v>0</v>
      </c>
      <c r="J36" s="133">
        <v>0</v>
      </c>
      <c r="K36" s="133">
        <v>0</v>
      </c>
      <c r="L36" s="133">
        <v>0</v>
      </c>
      <c r="M36" s="133">
        <v>0</v>
      </c>
      <c r="N36" s="133">
        <v>0</v>
      </c>
      <c r="O36" s="154">
        <v>0</v>
      </c>
    </row>
    <row r="37" spans="1:15" ht="29.25" customHeight="1">
      <c r="A37" s="56">
        <v>22</v>
      </c>
      <c r="B37" s="125" t="s">
        <v>3</v>
      </c>
      <c r="C37" s="126" t="s">
        <v>3</v>
      </c>
      <c r="D37" s="127" t="s">
        <v>14</v>
      </c>
      <c r="E37" s="131">
        <v>40</v>
      </c>
      <c r="F37" s="188">
        <f>SUM(G37:O37)</f>
        <v>1.33</v>
      </c>
      <c r="G37" s="132">
        <v>0</v>
      </c>
      <c r="H37" s="133">
        <v>0</v>
      </c>
      <c r="I37" s="133">
        <v>0</v>
      </c>
      <c r="J37" s="133">
        <v>0</v>
      </c>
      <c r="K37" s="133">
        <v>0</v>
      </c>
      <c r="L37" s="133">
        <v>0.33</v>
      </c>
      <c r="M37" s="133">
        <v>0.5</v>
      </c>
      <c r="N37" s="133">
        <v>0.5</v>
      </c>
      <c r="O37" s="154">
        <v>0</v>
      </c>
    </row>
    <row r="38" spans="1:15" ht="29.25" customHeight="1">
      <c r="A38" s="155">
        <v>23</v>
      </c>
      <c r="B38" s="125" t="s">
        <v>3</v>
      </c>
      <c r="C38" s="126" t="s">
        <v>3</v>
      </c>
      <c r="D38" s="127" t="s">
        <v>1</v>
      </c>
      <c r="E38" s="131">
        <v>100</v>
      </c>
      <c r="F38" s="188">
        <f>SUM(G38:O38)</f>
        <v>3.32</v>
      </c>
      <c r="G38" s="132">
        <v>0</v>
      </c>
      <c r="H38" s="133">
        <v>0</v>
      </c>
      <c r="I38" s="133">
        <v>0</v>
      </c>
      <c r="J38" s="133">
        <v>0</v>
      </c>
      <c r="K38" s="133">
        <v>0</v>
      </c>
      <c r="L38" s="133">
        <v>1.66</v>
      </c>
      <c r="M38" s="133">
        <v>1.66</v>
      </c>
      <c r="N38" s="133">
        <v>0</v>
      </c>
      <c r="O38" s="154">
        <v>0</v>
      </c>
    </row>
    <row r="39" spans="1:15" ht="25.5" customHeight="1" thickBot="1">
      <c r="A39" s="213" t="s">
        <v>40</v>
      </c>
      <c r="B39" s="214"/>
      <c r="C39" s="214"/>
      <c r="D39" s="214"/>
      <c r="E39" s="32"/>
      <c r="F39" s="189">
        <f>SUM(F3:F38)</f>
        <v>2908144.636125501</v>
      </c>
      <c r="G39" s="157">
        <f aca="true" t="shared" si="0" ref="G39:O39">SUM(G3:G38)</f>
        <v>2.82</v>
      </c>
      <c r="H39" s="157">
        <f t="shared" si="0"/>
        <v>6.616</v>
      </c>
      <c r="I39" s="157">
        <f t="shared" si="0"/>
        <v>43276.598999999995</v>
      </c>
      <c r="J39" s="157">
        <f t="shared" si="0"/>
        <v>185333.05035000003</v>
      </c>
      <c r="K39" s="157">
        <f t="shared" si="0"/>
        <v>326338.017</v>
      </c>
      <c r="L39" s="157">
        <f t="shared" si="0"/>
        <v>431701.01865</v>
      </c>
      <c r="M39" s="157">
        <f t="shared" si="0"/>
        <v>482136.661</v>
      </c>
      <c r="N39" s="157">
        <f t="shared" si="0"/>
        <v>554831.037</v>
      </c>
      <c r="O39" s="158">
        <f t="shared" si="0"/>
        <v>439801.5953400002</v>
      </c>
    </row>
    <row r="40" spans="2:15" ht="17.25" customHeight="1">
      <c r="B40" s="212"/>
      <c r="C40" s="212"/>
      <c r="D40" s="212"/>
      <c r="E40" s="212"/>
      <c r="F40" s="212"/>
      <c r="G40" s="212"/>
      <c r="H40" s="212"/>
      <c r="I40" s="212"/>
      <c r="J40" s="212"/>
      <c r="K40" s="7"/>
      <c r="L40" s="7"/>
      <c r="M40" s="7"/>
      <c r="N40" s="7"/>
      <c r="O40" s="7"/>
    </row>
    <row r="41" spans="2:15" s="4" customFormat="1" ht="21" customHeight="1">
      <c r="B41" s="9"/>
      <c r="C41" s="9"/>
      <c r="D41" s="1" t="s">
        <v>5</v>
      </c>
      <c r="E41" s="10"/>
      <c r="F41" s="10"/>
      <c r="G41" s="11"/>
      <c r="H41" s="44"/>
      <c r="I41" s="45"/>
      <c r="J41" s="45"/>
      <c r="K41" s="11"/>
      <c r="L41" s="11"/>
      <c r="M41" s="11"/>
      <c r="N41" s="11"/>
      <c r="O41" s="11"/>
    </row>
    <row r="42" spans="2:15" s="4" customFormat="1" ht="21" customHeight="1">
      <c r="B42" s="9"/>
      <c r="C42" s="9"/>
      <c r="D42" s="1" t="s">
        <v>6</v>
      </c>
      <c r="E42" s="10"/>
      <c r="F42" s="10"/>
      <c r="G42" s="11"/>
      <c r="H42" s="11"/>
      <c r="I42" s="11"/>
      <c r="J42" s="11"/>
      <c r="K42" s="11"/>
      <c r="L42" s="11"/>
      <c r="M42" s="11"/>
      <c r="N42" s="11"/>
      <c r="O42" s="11"/>
    </row>
    <row r="43" spans="2:15" ht="21" customHeight="1">
      <c r="B43" s="12"/>
      <c r="C43" s="12"/>
      <c r="D43" s="54" t="s">
        <v>31</v>
      </c>
      <c r="E43" s="33"/>
      <c r="F43" s="12"/>
      <c r="G43" s="12"/>
      <c r="H43" s="12"/>
      <c r="I43" s="37"/>
      <c r="J43" s="14"/>
      <c r="K43" s="7"/>
      <c r="L43" s="7"/>
      <c r="M43" s="7"/>
      <c r="N43" s="7"/>
      <c r="O43" s="7"/>
    </row>
    <row r="44" spans="1:15" ht="22.5" customHeight="1">
      <c r="A44" s="34"/>
      <c r="B44" s="33"/>
      <c r="C44" s="33"/>
      <c r="D44" s="23"/>
      <c r="E44" s="33"/>
      <c r="F44" s="31"/>
      <c r="G44" s="15"/>
      <c r="H44" s="22"/>
      <c r="I44" s="41"/>
      <c r="J44" s="38"/>
      <c r="K44" s="39"/>
      <c r="L44" s="40"/>
      <c r="M44" s="39"/>
      <c r="N44" s="40"/>
      <c r="O44" s="15"/>
    </row>
    <row r="45" spans="1:15" ht="29.25" customHeight="1">
      <c r="A45" s="13"/>
      <c r="B45" s="12"/>
      <c r="C45" s="12"/>
      <c r="D45" s="23"/>
      <c r="E45" s="24"/>
      <c r="F45" s="24"/>
      <c r="G45" s="25"/>
      <c r="H45" s="21" t="s">
        <v>39</v>
      </c>
      <c r="I45" s="42"/>
      <c r="J45" s="35"/>
      <c r="K45" s="21"/>
      <c r="L45" s="21"/>
      <c r="M45" s="21"/>
      <c r="N45" s="21"/>
      <c r="O45" s="25"/>
    </row>
    <row r="46" spans="1:15" ht="29.25" customHeight="1">
      <c r="A46" s="13"/>
      <c r="B46" s="12"/>
      <c r="C46" s="12"/>
      <c r="D46" s="23"/>
      <c r="E46" s="24"/>
      <c r="F46" s="24"/>
      <c r="G46" s="25"/>
      <c r="H46" s="21"/>
      <c r="I46" s="43"/>
      <c r="J46" s="35"/>
      <c r="K46" s="21"/>
      <c r="L46" s="21"/>
      <c r="M46" s="21"/>
      <c r="N46" s="21"/>
      <c r="O46" s="25"/>
    </row>
    <row r="47" spans="1:15" ht="29.25" customHeight="1">
      <c r="A47" s="13"/>
      <c r="B47" s="12"/>
      <c r="C47" s="12"/>
      <c r="D47" s="23"/>
      <c r="E47" s="24"/>
      <c r="F47" s="24"/>
      <c r="G47" s="25"/>
      <c r="H47" s="21"/>
      <c r="I47" s="21"/>
      <c r="J47" s="21"/>
      <c r="K47" s="21"/>
      <c r="L47" s="21"/>
      <c r="M47" s="21"/>
      <c r="N47" s="21"/>
      <c r="O47" s="25"/>
    </row>
    <row r="48" spans="1:15" s="5" customFormat="1" ht="29.25" customHeight="1">
      <c r="A48" s="8"/>
      <c r="B48" s="14"/>
      <c r="C48" s="14"/>
      <c r="D48" s="23"/>
      <c r="E48" s="26"/>
      <c r="F48" s="26"/>
      <c r="G48" s="21"/>
      <c r="H48" s="21"/>
      <c r="I48" s="27"/>
      <c r="J48" s="27"/>
      <c r="K48" s="27"/>
      <c r="L48" s="36"/>
      <c r="M48" s="27"/>
      <c r="N48" s="27"/>
      <c r="O48" s="27"/>
    </row>
    <row r="49" spans="1:15" s="5" customFormat="1" ht="29.25" customHeight="1">
      <c r="A49" s="8"/>
      <c r="B49" s="14"/>
      <c r="C49" s="14"/>
      <c r="D49" s="23"/>
      <c r="E49" s="26"/>
      <c r="F49" s="26"/>
      <c r="G49" s="21"/>
      <c r="H49" s="21"/>
      <c r="I49" s="21"/>
      <c r="J49" s="21"/>
      <c r="K49" s="21"/>
      <c r="L49" s="21"/>
      <c r="M49" s="21"/>
      <c r="N49" s="21"/>
      <c r="O49" s="21"/>
    </row>
    <row r="50" spans="1:15" ht="22.5" customHeight="1">
      <c r="A50" s="13"/>
      <c r="B50" s="12"/>
      <c r="C50" s="12"/>
      <c r="D50" s="28"/>
      <c r="E50" s="15"/>
      <c r="F50" s="15"/>
      <c r="G50" s="28"/>
      <c r="H50" s="28"/>
      <c r="I50" s="28"/>
      <c r="J50" s="28"/>
      <c r="K50" s="28"/>
      <c r="L50" s="28"/>
      <c r="M50" s="28"/>
      <c r="N50" s="28"/>
      <c r="O50" s="28"/>
    </row>
    <row r="51" spans="1:15" ht="22.5" customHeight="1">
      <c r="A51" s="13"/>
      <c r="B51" s="12"/>
      <c r="C51" s="12"/>
      <c r="D51" s="28"/>
      <c r="E51" s="15"/>
      <c r="F51" s="15"/>
      <c r="G51" s="29"/>
      <c r="H51" s="29"/>
      <c r="I51" s="29"/>
      <c r="J51" s="29"/>
      <c r="K51" s="29"/>
      <c r="L51" s="29"/>
      <c r="M51" s="29"/>
      <c r="N51" s="29"/>
      <c r="O51" s="29"/>
    </row>
    <row r="52" spans="1:15" ht="22.5" customHeight="1">
      <c r="A52" s="13"/>
      <c r="B52" s="12"/>
      <c r="C52" s="12"/>
      <c r="D52" s="28"/>
      <c r="E52" s="15"/>
      <c r="F52" s="15"/>
      <c r="G52" s="29"/>
      <c r="H52" s="29"/>
      <c r="I52" s="29"/>
      <c r="J52" s="29"/>
      <c r="K52" s="29"/>
      <c r="L52" s="29"/>
      <c r="M52" s="29"/>
      <c r="N52" s="29"/>
      <c r="O52" s="29"/>
    </row>
    <row r="53" spans="1:15" ht="22.5" customHeight="1">
      <c r="A53" s="13"/>
      <c r="B53" s="12"/>
      <c r="C53" s="12"/>
      <c r="D53" s="28"/>
      <c r="E53" s="15"/>
      <c r="F53" s="15"/>
      <c r="G53" s="29"/>
      <c r="H53" s="29"/>
      <c r="I53" s="29"/>
      <c r="J53" s="29"/>
      <c r="K53" s="29"/>
      <c r="L53" s="29"/>
      <c r="M53" s="29"/>
      <c r="N53" s="29"/>
      <c r="O53" s="29"/>
    </row>
    <row r="54" spans="1:15" ht="22.5" customHeight="1">
      <c r="A54" s="13"/>
      <c r="B54" s="12"/>
      <c r="C54" s="12"/>
      <c r="D54" s="28"/>
      <c r="E54" s="15"/>
      <c r="F54" s="15"/>
      <c r="G54" s="29"/>
      <c r="H54" s="29"/>
      <c r="I54" s="29"/>
      <c r="J54" s="29"/>
      <c r="K54" s="29"/>
      <c r="L54" s="29"/>
      <c r="M54" s="29"/>
      <c r="N54" s="29"/>
      <c r="O54" s="29"/>
    </row>
    <row r="55" spans="1:15" ht="22.5" customHeight="1">
      <c r="A55" s="13"/>
      <c r="B55" s="12"/>
      <c r="C55" s="12"/>
      <c r="D55" s="13"/>
      <c r="E55" s="15"/>
      <c r="F55" s="15"/>
      <c r="G55" s="29"/>
      <c r="H55" s="29"/>
      <c r="I55" s="29"/>
      <c r="J55" s="29"/>
      <c r="K55" s="29"/>
      <c r="L55" s="29"/>
      <c r="M55" s="29"/>
      <c r="N55" s="29"/>
      <c r="O55" s="29"/>
    </row>
    <row r="56" spans="1:15" ht="22.5" customHeight="1">
      <c r="A56" s="13"/>
      <c r="B56" s="12"/>
      <c r="C56" s="12"/>
      <c r="D56" s="13"/>
      <c r="E56" s="28"/>
      <c r="F56" s="28"/>
      <c r="G56" s="30"/>
      <c r="H56" s="30"/>
      <c r="I56" s="30"/>
      <c r="J56" s="30"/>
      <c r="K56" s="30"/>
      <c r="L56" s="30"/>
      <c r="M56" s="30"/>
      <c r="N56" s="30"/>
      <c r="O56" s="30"/>
    </row>
    <row r="57" spans="1:15" ht="12.75">
      <c r="A57" s="13"/>
      <c r="B57" s="12"/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ht="15.75">
      <c r="A58" s="13"/>
      <c r="B58" s="12"/>
      <c r="C58" s="12"/>
      <c r="E58" s="8"/>
      <c r="F58" s="8"/>
      <c r="G58" s="16"/>
      <c r="H58" s="16"/>
      <c r="I58" s="16"/>
      <c r="J58" s="16"/>
      <c r="K58" s="16"/>
      <c r="L58" s="8"/>
      <c r="M58" s="13"/>
      <c r="N58" s="13"/>
      <c r="O58" s="13"/>
    </row>
    <row r="59" spans="1:15" ht="15.75">
      <c r="A59" s="13"/>
      <c r="B59" s="12"/>
      <c r="C59" s="12"/>
      <c r="E59" s="17"/>
      <c r="F59" s="17"/>
      <c r="G59" s="18"/>
      <c r="H59" s="19"/>
      <c r="I59" s="19"/>
      <c r="J59" s="19"/>
      <c r="K59" s="19"/>
      <c r="L59" s="8"/>
      <c r="M59" s="13"/>
      <c r="N59" s="13"/>
      <c r="O59" s="13"/>
    </row>
    <row r="60" spans="5:12" ht="15.75">
      <c r="E60" s="17"/>
      <c r="F60" s="17"/>
      <c r="G60" s="18"/>
      <c r="H60" s="20"/>
      <c r="I60" s="20"/>
      <c r="J60" s="20"/>
      <c r="K60" s="20"/>
      <c r="L60" s="8"/>
    </row>
    <row r="61" spans="5:12" ht="15.75">
      <c r="E61" s="17"/>
      <c r="F61" s="17"/>
      <c r="G61" s="18"/>
      <c r="H61" s="20"/>
      <c r="I61" s="20"/>
      <c r="J61" s="20"/>
      <c r="K61" s="20"/>
      <c r="L61" s="8"/>
    </row>
  </sheetData>
  <sheetProtection/>
  <mergeCells count="3">
    <mergeCell ref="B40:J40"/>
    <mergeCell ref="A39:D39"/>
    <mergeCell ref="A1:O1"/>
  </mergeCells>
  <printOptions horizontalCentered="1" verticalCentered="1"/>
  <pageMargins left="0.7874015748031497" right="0.7874015748031497" top="0.5118110236220472" bottom="0.4724409448818898" header="0.4724409448818898" footer="0.4724409448818898"/>
  <pageSetup fitToHeight="1" fitToWidth="1" horizontalDpi="600" verticalDpi="600" orientation="landscape" paperSize="8" scale="63" r:id="rId1"/>
  <headerFooter alignWithMargins="0">
    <oddHeader>&amp;R&amp;20Príloha č. 2</oddHeader>
  </headerFooter>
  <rowBreaks count="1" manualBreakCount="1">
    <brk id="4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Stredisko informatiky</dc:creator>
  <cp:keywords/>
  <dc:description/>
  <cp:lastModifiedBy>tokolyova</cp:lastModifiedBy>
  <cp:lastPrinted>2011-03-24T08:44:19Z</cp:lastPrinted>
  <dcterms:created xsi:type="dcterms:W3CDTF">2006-10-30T13:23:47Z</dcterms:created>
  <dcterms:modified xsi:type="dcterms:W3CDTF">2011-04-27T08:33:04Z</dcterms:modified>
  <cp:category/>
  <cp:version/>
  <cp:contentType/>
  <cp:contentStatus/>
</cp:coreProperties>
</file>