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281" windowWidth="18840" windowHeight="11175" activeTab="3"/>
  </bookViews>
  <sheets>
    <sheet name="IP_čerapanie" sheetId="1" r:id="rId1"/>
    <sheet name="BG_čerpanie" sheetId="2" r:id="rId2"/>
    <sheet name="TA_čerpanie" sheetId="3" r:id="rId3"/>
    <sheet name="sumár_čerpanie" sheetId="4" r:id="rId4"/>
    <sheet name="IP - zuctovanie" sheetId="5" r:id="rId5"/>
    <sheet name="BG - zuctovanie" sheetId="6" r:id="rId6"/>
  </sheets>
  <externalReferences>
    <externalReference r:id="rId9"/>
    <externalReference r:id="rId10"/>
  </externalReferences>
  <definedNames>
    <definedName name="_xlnm.Print_Titles" localSheetId="5">'BG - zuctovanie'!$4:$5</definedName>
    <definedName name="_xlnm.Print_Titles" localSheetId="1">'BG_čerpanie'!$4:$5</definedName>
    <definedName name="_xlnm.Print_Titles" localSheetId="4">'IP - zuctovanie'!$5:$6</definedName>
    <definedName name="_xlnm.Print_Titles" localSheetId="0">'IP_čerapanie'!$5:$6</definedName>
  </definedNames>
  <calcPr fullCalcOnLoad="1"/>
</workbook>
</file>

<file path=xl/comments1.xml><?xml version="1.0" encoding="utf-8"?>
<comments xmlns="http://schemas.openxmlformats.org/spreadsheetml/2006/main">
  <authors>
    <author>jpodhorsky</author>
    <author>hgoldschmidtova</author>
  </authors>
  <commentList>
    <comment ref="G16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</t>
        </r>
      </text>
    </comment>
    <comment ref="D333" authorId="1">
      <text>
        <r>
          <rPr>
            <b/>
            <sz val="8"/>
            <rFont val="Tahoma"/>
            <family val="2"/>
          </rPr>
          <t>hgoldschmidtova:</t>
        </r>
        <r>
          <rPr>
            <sz val="8"/>
            <rFont val="Tahoma"/>
            <family val="2"/>
          </rPr>
          <t xml:space="preserve">
Vlastne zdroje = 455227
</t>
        </r>
      </text>
    </comment>
    <comment ref="C48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iba NFM</t>
        </r>
      </text>
    </comment>
    <comment ref="A48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verejno právna inštitúcia</t>
        </r>
      </text>
    </comment>
    <comment ref="A50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nezisková organizácia</t>
        </r>
      </text>
    </comment>
    <comment ref="C50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C51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51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záujmové združenie právnickýchj osôb</t>
        </r>
      </text>
    </comment>
    <comment ref="A545" authorId="0">
      <text>
        <r>
          <rPr>
            <b/>
            <sz val="8"/>
            <rFont val="Tahoma"/>
            <family val="2"/>
          </rPr>
          <t>jpodhorsky:
právna forma - mesto</t>
        </r>
        <r>
          <rPr>
            <sz val="8"/>
            <rFont val="Tahoma"/>
            <family val="2"/>
          </rPr>
          <t xml:space="preserve">
</t>
        </r>
      </text>
    </comment>
    <comment ref="A57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C57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63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1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štátna rozpočtová organizácia</t>
        </r>
      </text>
    </comment>
    <comment ref="C1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1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A2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nadácia</t>
        </r>
      </text>
    </comment>
    <comment ref="A6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C6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7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C7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34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rozpočtová organizácia</t>
        </r>
      </text>
    </comment>
    <comment ref="C34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38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C38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41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príspevková organizácia</t>
        </r>
      </text>
    </comment>
    <comment ref="A43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verejnoprávna inštitúcia</t>
        </r>
      </text>
    </comment>
    <comment ref="A45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rozpočtová organizácia</t>
        </r>
      </text>
    </comment>
    <comment ref="A55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A56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nadácia</t>
        </r>
      </text>
    </comment>
    <comment ref="A32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akciová spoločnosť</t>
        </r>
      </text>
    </comment>
    <comment ref="A33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forma- spoločnosť s ručením obmedzeným</t>
        </r>
      </text>
    </comment>
    <comment ref="A34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spoločnosť s ručením obmedzeným</t>
        </r>
      </text>
    </comment>
    <comment ref="A39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59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60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cirkevná organizácia</t>
        </r>
      </text>
    </comment>
    <comment ref="A61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64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 združenie</t>
        </r>
      </text>
    </comment>
    <comment ref="A2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verejná vysoká škola</t>
        </r>
      </text>
    </comment>
    <comment ref="A8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8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nadácia</t>
        </r>
      </text>
    </comment>
    <comment ref="A9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10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11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14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15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18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21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23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25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26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29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41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8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43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47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48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57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59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63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64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64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verejná vysoká škola</t>
        </r>
      </text>
    </comment>
    <comment ref="D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suma navýšené o 16 € dodatkom č. 1</t>
        </r>
      </text>
    </comment>
    <comment ref="A6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verejná vysoká škola</t>
        </r>
      </text>
    </comment>
    <comment ref="A4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verejná vysoká škola</t>
        </r>
      </text>
    </comment>
    <comment ref="A2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 vysoká škola</t>
        </r>
      </text>
    </comment>
    <comment ref="A33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spoločnosť s ručením obmedzeným</t>
        </r>
      </text>
    </comment>
    <comment ref="A34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rozpočtováorganizácia </t>
        </r>
      </text>
    </comment>
    <comment ref="A35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37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 (úrad samosprávneho kraja)</t>
        </r>
      </text>
    </comment>
    <comment ref="A58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32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C38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lne NFM</t>
        </r>
      </text>
    </comment>
    <comment ref="A45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49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49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nezisková organizácia</t>
        </r>
      </text>
    </comment>
    <comment ref="A53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28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štátna rozpočtová organizácia</t>
        </r>
      </text>
    </comment>
    <comment ref="A33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spoločnosť s ručením obmedzeným</t>
        </r>
      </text>
    </comment>
    <comment ref="A42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47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nezisková organizácia</t>
        </r>
      </text>
    </comment>
    <comment ref="A52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50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záujmová združenie právnických osôb</t>
        </r>
      </text>
    </comment>
    <comment ref="A51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62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62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mesto</t>
        </r>
      </text>
    </comment>
    <comment ref="A63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C1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11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rozpočtová organizácia</t>
        </r>
      </text>
    </comment>
    <comment ref="A12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15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18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nadácia</t>
        </r>
      </text>
    </comment>
    <comment ref="A19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štátna rozpočtová organizácia</t>
        </r>
      </text>
    </comment>
    <comment ref="A20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A22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A24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organizačná jednotka združenia</t>
        </r>
      </text>
    </comment>
    <comment ref="A25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27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rozpočtová organizácia mesta</t>
        </r>
      </text>
    </comment>
    <comment ref="A30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31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verejná vysoká škola</t>
        </r>
      </text>
    </comment>
    <comment ref="A36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39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verejnoprávna inštitúcia</t>
        </r>
      </text>
    </comment>
  </commentList>
</comments>
</file>

<file path=xl/comments3.xml><?xml version="1.0" encoding="utf-8"?>
<comments xmlns="http://schemas.openxmlformats.org/spreadsheetml/2006/main">
  <authors>
    <author>;</author>
    <author>jpodhorsky</author>
  </authors>
  <commentList>
    <comment ref="H116" authorId="0">
      <text>
        <r>
          <rPr>
            <b/>
            <sz val="8"/>
            <rFont val="Tahoma"/>
            <family val="2"/>
          </rPr>
          <t xml:space="preserve"> mf  sr</t>
        </r>
        <r>
          <rPr>
            <sz val="8"/>
            <rFont val="Tahoma"/>
            <family val="2"/>
          </rPr>
          <t xml:space="preserve">
</t>
        </r>
      </text>
    </comment>
    <comment ref="E108" authorId="1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Suma je bez DPH</t>
        </r>
      </text>
    </comment>
    <comment ref="E109" authorId="1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Suma bola prevedená na úrad MF SR za časť EHP a NFM len dvoma prevodmi. Celkové financovanie bola teda rozdelené na 85:15 (staré účtovníctvo v ISUF).</t>
        </r>
      </text>
    </comment>
  </commentList>
</comments>
</file>

<file path=xl/comments5.xml><?xml version="1.0" encoding="utf-8"?>
<comments xmlns="http://schemas.openxmlformats.org/spreadsheetml/2006/main">
  <authors>
    <author>jpodhorsky</author>
    <author>hgoldschmidtova</author>
  </authors>
  <commentList>
    <comment ref="A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štátna rozpočtová organizácia</t>
        </r>
      </text>
    </comment>
    <comment ref="C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50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A40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nadácia</t>
        </r>
      </text>
    </comment>
    <comment ref="A25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verenoprávna inštitúcia</t>
        </r>
      </text>
    </comment>
    <comment ref="A27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samosprávny kraj</t>
        </r>
      </text>
    </comment>
    <comment ref="C27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42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C42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9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</t>
        </r>
      </text>
    </comment>
    <comment ref="A37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46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63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61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40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samospráva</t>
        </r>
      </text>
    </comment>
    <comment ref="A445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G16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</t>
        </r>
      </text>
    </comment>
    <comment ref="A30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65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25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samospráva</t>
        </r>
      </text>
    </comment>
    <comment ref="A59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43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61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akciová spoločnosť</t>
        </r>
      </text>
    </comment>
    <comment ref="D639" authorId="1">
      <text>
        <r>
          <rPr>
            <b/>
            <sz val="8"/>
            <rFont val="Tahoma"/>
            <family val="2"/>
          </rPr>
          <t>hgoldschmidtova:</t>
        </r>
        <r>
          <rPr>
            <sz val="8"/>
            <rFont val="Tahoma"/>
            <family val="2"/>
          </rPr>
          <t xml:space="preserve">
Vlastne zdroje = 455227
</t>
        </r>
      </text>
    </comment>
    <comment ref="A64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forma- spoločnosť s ručením obmedzeným</t>
        </r>
      </text>
    </comment>
    <comment ref="A52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spoločnosť s ručením obmedzeným</t>
        </r>
      </text>
    </comment>
    <comment ref="A11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rozpočtová organizácia</t>
        </r>
      </text>
    </comment>
    <comment ref="C11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11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C11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35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10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príspevková organizácia</t>
        </r>
      </text>
    </comment>
    <comment ref="A8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samospráva</t>
        </r>
      </text>
    </comment>
    <comment ref="A50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verejnoprávna inštitúcia</t>
        </r>
      </text>
    </comment>
    <comment ref="A12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rozpočtová organizácia</t>
        </r>
      </text>
    </comment>
    <comment ref="A13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verejno právna inštitúcia</t>
        </r>
      </text>
    </comment>
    <comment ref="C13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iba NFM</t>
        </r>
      </text>
    </comment>
    <comment ref="A9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nezisková organizácia</t>
        </r>
      </text>
    </comment>
    <comment ref="C9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31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záujmové združenie právnickýchj osôb</t>
        </r>
      </text>
    </comment>
    <comment ref="C31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16" authorId="0">
      <text>
        <r>
          <rPr>
            <b/>
            <sz val="8"/>
            <rFont val="Tahoma"/>
            <family val="2"/>
          </rPr>
          <t>jpodhorsky:
právna forma - mesto</t>
        </r>
        <r>
          <rPr>
            <sz val="8"/>
            <rFont val="Tahoma"/>
            <family val="2"/>
          </rPr>
          <t xml:space="preserve">
</t>
        </r>
      </text>
    </comment>
    <comment ref="A24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občianske združenie</t>
        </r>
      </text>
    </comment>
    <comment ref="A50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nadácia</t>
        </r>
      </text>
    </comment>
    <comment ref="A21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C218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len NFM</t>
        </r>
      </text>
    </comment>
    <comment ref="A631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  <comment ref="A643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cirkevná organizácia</t>
        </r>
      </text>
    </comment>
    <comment ref="A76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príspevková organizácia</t>
        </r>
      </text>
    </comment>
    <comment ref="A127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združenie</t>
        </r>
      </text>
    </comment>
    <comment ref="A192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 združenie</t>
        </r>
      </text>
    </comment>
    <comment ref="A474" authorId="0">
      <text>
        <r>
          <rPr>
            <b/>
            <sz val="8"/>
            <rFont val="Tahoma"/>
            <family val="2"/>
          </rPr>
          <t>jpodhorsky:</t>
        </r>
        <r>
          <rPr>
            <sz val="8"/>
            <rFont val="Tahoma"/>
            <family val="2"/>
          </rPr>
          <t xml:space="preserve">
právna forma - obec</t>
        </r>
      </text>
    </comment>
  </commentList>
</comments>
</file>

<file path=xl/sharedStrings.xml><?xml version="1.0" encoding="utf-8"?>
<sst xmlns="http://schemas.openxmlformats.org/spreadsheetml/2006/main" count="918" uniqueCount="330">
  <si>
    <t>Konečný prijímateľ</t>
  </si>
  <si>
    <t>Číslo
 projektu</t>
  </si>
  <si>
    <t xml:space="preserve">Alokácia </t>
  </si>
  <si>
    <t xml:space="preserve">Donori </t>
  </si>
  <si>
    <t>ŠR</t>
  </si>
  <si>
    <t>EHP</t>
  </si>
  <si>
    <t>NFM</t>
  </si>
  <si>
    <t>ŠR - EHP</t>
  </si>
  <si>
    <t>ŠR - NFM</t>
  </si>
  <si>
    <t>Karpatský rozvojový inštitút</t>
  </si>
  <si>
    <t>SK0024</t>
  </si>
  <si>
    <t>Mesto Trenčín</t>
  </si>
  <si>
    <t>SK0038</t>
  </si>
  <si>
    <t>Prešovský
samosprávny kraj</t>
  </si>
  <si>
    <t>SK0022</t>
  </si>
  <si>
    <t>Nadácia škola dokorán</t>
  </si>
  <si>
    <t>SK0037</t>
  </si>
  <si>
    <t>Nadácia F.A Hayeka</t>
  </si>
  <si>
    <t>SK0016</t>
  </si>
  <si>
    <t>Univerzita veterin. Lekárstva v KE</t>
  </si>
  <si>
    <t>SK0021</t>
  </si>
  <si>
    <t>Obec Nižný Slavkov</t>
  </si>
  <si>
    <t>SK0027</t>
  </si>
  <si>
    <t>Slovenská zdravotnícka univerzita</t>
  </si>
  <si>
    <t>SK0020</t>
  </si>
  <si>
    <t>Slovenské banské múzeum</t>
  </si>
  <si>
    <t>SK0036</t>
  </si>
  <si>
    <t>Mesto Vysoké Tatry</t>
  </si>
  <si>
    <t>SK0052</t>
  </si>
  <si>
    <t>EUROCORD</t>
  </si>
  <si>
    <t>SK0041</t>
  </si>
  <si>
    <t>Obec Stožok</t>
  </si>
  <si>
    <t>SK0042</t>
  </si>
  <si>
    <t>Občianske združenie OZVENY</t>
  </si>
  <si>
    <t>SK0033</t>
  </si>
  <si>
    <t>Univerzita
Pavla Jozefa Šafárika</t>
  </si>
  <si>
    <t>SK0017</t>
  </si>
  <si>
    <t>OZ Fundament</t>
  </si>
  <si>
    <t>SK0015</t>
  </si>
  <si>
    <t>Slovenský červený kríž</t>
  </si>
  <si>
    <t>SK0045</t>
  </si>
  <si>
    <t>Mesto Myjava</t>
  </si>
  <si>
    <t>SK0028</t>
  </si>
  <si>
    <t>Domov dôchodcov Poprad - penzión</t>
  </si>
  <si>
    <t>SK0050</t>
  </si>
  <si>
    <t>Detský domov Nádej</t>
  </si>
  <si>
    <t>SK0051</t>
  </si>
  <si>
    <t>Slovenská technická univerzita</t>
  </si>
  <si>
    <t>SK0013</t>
  </si>
  <si>
    <t>Žilinský samosprávny kraj</t>
  </si>
  <si>
    <t>SK0034</t>
  </si>
  <si>
    <t>Mesto Lipany</t>
  </si>
  <si>
    <t>SK0026</t>
  </si>
  <si>
    <t>Slovenské národné múzeum</t>
  </si>
  <si>
    <t>SK0047</t>
  </si>
  <si>
    <t>Detský domov Košická Nová Ves</t>
  </si>
  <si>
    <t>SK0040</t>
  </si>
  <si>
    <t>Nadácia Dubnické opálové bane</t>
  </si>
  <si>
    <t>SK0025</t>
  </si>
  <si>
    <t>Záhorácke centrum záujmových činností, Veľké Leváre</t>
  </si>
  <si>
    <t>SK0060</t>
  </si>
  <si>
    <t>Slovenská technická univerzita v Bratislave</t>
  </si>
  <si>
    <t>SK0023</t>
  </si>
  <si>
    <t>Košický samosprávny kraj - Katov dom</t>
  </si>
  <si>
    <t>SK0043</t>
  </si>
  <si>
    <t>Mesto Prešov</t>
  </si>
  <si>
    <t>SK0035</t>
  </si>
  <si>
    <t>Slovenské národná knižnica</t>
  </si>
  <si>
    <t>SK0032</t>
  </si>
  <si>
    <t xml:space="preserve">Obec Lehnice </t>
  </si>
  <si>
    <t>SK0046</t>
  </si>
  <si>
    <t xml:space="preserve">Žilinská univerzita v Žiline </t>
  </si>
  <si>
    <t>SK0061</t>
  </si>
  <si>
    <t>Športový klub SFM Senec</t>
  </si>
  <si>
    <t>SK0062</t>
  </si>
  <si>
    <t>Spolu</t>
  </si>
  <si>
    <t xml:space="preserve"> -</t>
  </si>
  <si>
    <t>Komentár:</t>
  </si>
  <si>
    <t xml:space="preserve">Z celkových oprávnených výdavkov určených pre konečných prijímateľov v sume 216 960 595,90 Sk bolo do 30.06.2008 vyplatených 39 572 532,41 Sk, </t>
  </si>
  <si>
    <t xml:space="preserve">z čoho ZP tvoria 76,66 % z vyplatených prostriedkov a predfinancovanie zostávajúcich 23,34 %. Z celkového počtu 16 KP 8 z nich majú schválenú zálohovú </t>
  </si>
  <si>
    <t>platbu ako formu financovania a 8 KP používa formu predfinancovania.</t>
  </si>
  <si>
    <t>Použité skratky:</t>
  </si>
  <si>
    <t>ZP:</t>
  </si>
  <si>
    <t>zálohová platba</t>
  </si>
  <si>
    <t>predfin.:</t>
  </si>
  <si>
    <t>predfinancovanie</t>
  </si>
  <si>
    <t>Schválené a predložené žiadosti na ÚFM</t>
  </si>
  <si>
    <t>Mena: EUR</t>
  </si>
  <si>
    <t>Uhradené Prostriedky z ÚFM</t>
  </si>
  <si>
    <t>Poskytnuté prostriedky  (vyplatené ŽoP)</t>
  </si>
  <si>
    <t>spolu poskytnuté</t>
  </si>
  <si>
    <t>Zdroj: MF SR</t>
  </si>
  <si>
    <t>FM EHP -</t>
  </si>
  <si>
    <t>NFM      -</t>
  </si>
  <si>
    <t>Nórsky finančný mechanizmus</t>
  </si>
  <si>
    <t xml:space="preserve">ŽoP       - </t>
  </si>
  <si>
    <t>ÚFM      -</t>
  </si>
  <si>
    <t>Žiadosť o platbu</t>
  </si>
  <si>
    <t>% podiel poskytnutých prostriedkov na rozpočte IP</t>
  </si>
  <si>
    <t>Úrad pre finančné mechanizmy</t>
  </si>
  <si>
    <t>Číslo projektu</t>
  </si>
  <si>
    <t>SAIA, n.o.</t>
  </si>
  <si>
    <t>SK0007</t>
  </si>
  <si>
    <t>Nadácia otvorenej spoločnosti</t>
  </si>
  <si>
    <t>SK0008</t>
  </si>
  <si>
    <t>SK0009</t>
  </si>
  <si>
    <t>Nadácia Ekopolis</t>
  </si>
  <si>
    <t>SK0011</t>
  </si>
  <si>
    <t>Úrad vlády SR</t>
  </si>
  <si>
    <t>SK0012</t>
  </si>
  <si>
    <t>SIEA</t>
  </si>
  <si>
    <t>SK0057</t>
  </si>
  <si>
    <t>Prehľad vyplatených prostriedkov na konečných prijímateľov v rámci FM EHP/NFM k 31.05.2008</t>
  </si>
  <si>
    <t>Mena: SKK</t>
  </si>
  <si>
    <t>Sprostredkovateľ/KP</t>
  </si>
  <si>
    <t>Žiadané  prostriedky spolu</t>
  </si>
  <si>
    <t>% podiel vyplatených preddavkov na rozpočte KP</t>
  </si>
  <si>
    <t>SOCIA - nadácia na podporu sociálnych zmien</t>
  </si>
  <si>
    <t>Prešovský samosprávny kraj</t>
  </si>
  <si>
    <t>KP</t>
  </si>
  <si>
    <t>% podiel poskytnutých prostriedkov na rozpočte TA</t>
  </si>
  <si>
    <t>záloha = preddavok</t>
  </si>
  <si>
    <t>zálohová platba, predfinancovanie, a mozno refund.</t>
  </si>
  <si>
    <t>Univerzita Pavla Jozefa Šafárika</t>
  </si>
  <si>
    <t>Domov dôchodcov Poprad</t>
  </si>
  <si>
    <t>Technická asistencia</t>
  </si>
  <si>
    <t>SK0001</t>
  </si>
  <si>
    <t>Žiadané  prostriedky</t>
  </si>
  <si>
    <t>% podiel vyplatených preddavkov na rozpočte BG</t>
  </si>
  <si>
    <t xml:space="preserve">spolu </t>
  </si>
  <si>
    <t>kurz</t>
  </si>
  <si>
    <t>Slovenské baníkcke múzeum</t>
  </si>
  <si>
    <t>SK001</t>
  </si>
  <si>
    <t>spoluf</t>
  </si>
  <si>
    <t>nfm ta</t>
  </si>
  <si>
    <t>Alokácia EHP</t>
  </si>
  <si>
    <t>Alokácie NFM</t>
  </si>
  <si>
    <t>Čerpanie v roku 2008</t>
  </si>
  <si>
    <t>EHP spol.</t>
  </si>
  <si>
    <t>NFM spol.</t>
  </si>
  <si>
    <t>rok2008</t>
  </si>
  <si>
    <t xml:space="preserve">Z celkovej alokácie v sume 51 308 907,13 Sk bolo do 30.06.2008 vyplatených KP Úradu vlády SR 13 137 692,62 Sk. Partnerovi </t>
  </si>
  <si>
    <t xml:space="preserve">MFSR bolo vyplatených  formou refundácie 109 781,82 Sk </t>
  </si>
  <si>
    <t>SK0044</t>
  </si>
  <si>
    <t>Košický samosprávny kraj</t>
  </si>
  <si>
    <t>Donori</t>
  </si>
  <si>
    <t>PRO DONUM</t>
  </si>
  <si>
    <t>SK0128</t>
  </si>
  <si>
    <t>Molekulárne-medicínske centrum SAV</t>
  </si>
  <si>
    <t>SK0095</t>
  </si>
  <si>
    <t>Obvodný úrad Liptovský Mikuláš</t>
  </si>
  <si>
    <t>SK0078</t>
  </si>
  <si>
    <t>DAPHNE-Inštitút aplikovanej ekológie</t>
  </si>
  <si>
    <t>SK0115</t>
  </si>
  <si>
    <t>Výskumné centrum Slovenskej spoločnosti pre zahraničnú politiku, n.o.</t>
  </si>
  <si>
    <t>SK0105</t>
  </si>
  <si>
    <t>Podnikateľská aliancia Slovenska</t>
  </si>
  <si>
    <t>SK0084</t>
  </si>
  <si>
    <t>Únia centier prevencie a pomoci DAFNÉ</t>
  </si>
  <si>
    <t>SK0132</t>
  </si>
  <si>
    <t>SK0117</t>
  </si>
  <si>
    <t>Mesto Tvrdošín</t>
  </si>
  <si>
    <t>SK0030</t>
  </si>
  <si>
    <t>Združenia na ochranu práv spotrebiteľov v Poprade</t>
  </si>
  <si>
    <t>SK0136</t>
  </si>
  <si>
    <t>Agentúra EUROFORMES, n.o.</t>
  </si>
  <si>
    <t>SK0102</t>
  </si>
  <si>
    <t>SK0081</t>
  </si>
  <si>
    <t>Help, n.p.o.</t>
  </si>
  <si>
    <t>SK0097</t>
  </si>
  <si>
    <t>Mesto Skalica</t>
  </si>
  <si>
    <t>SK0124</t>
  </si>
  <si>
    <t>Ústav stavebníctva a architektúry SAV</t>
  </si>
  <si>
    <t>Občianske združenie ETP Slovensko - Centrum pre udržateľný rozvoj</t>
  </si>
  <si>
    <t>SK0101</t>
  </si>
  <si>
    <t>OZ pre rozvoj vzdelávania CALYPSO PM</t>
  </si>
  <si>
    <t>SK0123</t>
  </si>
  <si>
    <t>Koordinačné zduženia obcí mikroregiónu Podpoľanie</t>
  </si>
  <si>
    <t>SK0107</t>
  </si>
  <si>
    <t>Centrum prvého kontaktu pre podnikateľov v Poltári</t>
  </si>
  <si>
    <t>SK0103</t>
  </si>
  <si>
    <t>Univerzita Komenského, Prírodovedecká fakulta</t>
  </si>
  <si>
    <t>SK0086</t>
  </si>
  <si>
    <t>Ústav krajinnej ekológie Slovenskej akadémie vied</t>
  </si>
  <si>
    <t>SK0088</t>
  </si>
  <si>
    <t>Cirkevný zbor Evanjelickej cirkvi augsburského vyznania na Slovensku Bátovce</t>
  </si>
  <si>
    <t>SK0125</t>
  </si>
  <si>
    <t>Občianske združenie Topoľčiansky hrad</t>
  </si>
  <si>
    <t>SK0087</t>
  </si>
  <si>
    <t>SK0090</t>
  </si>
  <si>
    <t>Nadácia F.A.Hayeka Bratislava</t>
  </si>
  <si>
    <t>SK0085</t>
  </si>
  <si>
    <t>Mesto Michalovce</t>
  </si>
  <si>
    <t>SK0106</t>
  </si>
  <si>
    <t>VÚVH</t>
  </si>
  <si>
    <t>SK0135</t>
  </si>
  <si>
    <t>SK0094</t>
  </si>
  <si>
    <t>Alokácia podľa NFP</t>
  </si>
  <si>
    <t>% uhradených prostriedkov z ÚFM</t>
  </si>
  <si>
    <t>;</t>
  </si>
  <si>
    <t>SK0110</t>
  </si>
  <si>
    <t>Mesto Považská Bystrica</t>
  </si>
  <si>
    <t>SK0049</t>
  </si>
  <si>
    <t>Mesto Svit</t>
  </si>
  <si>
    <t>SK0029</t>
  </si>
  <si>
    <t>Mesto Vráble</t>
  </si>
  <si>
    <t>SK0082</t>
  </si>
  <si>
    <t>Bratislavský samosprávny kraj</t>
  </si>
  <si>
    <t>SK0092</t>
  </si>
  <si>
    <t>SK0130</t>
  </si>
  <si>
    <t>Mesto Liptovský Mikuláš</t>
  </si>
  <si>
    <t>ŠOP SR</t>
  </si>
  <si>
    <t>SK0121</t>
  </si>
  <si>
    <t>SK0074</t>
  </si>
  <si>
    <t>Eduard Rada Breweries, s.r.o.</t>
  </si>
  <si>
    <t>SK0080</t>
  </si>
  <si>
    <t xml:space="preserve">Ústav na výkon trestu odňatia slobody Želiezovce </t>
  </si>
  <si>
    <t>IMET, a.s.</t>
  </si>
  <si>
    <t>SK0067</t>
  </si>
  <si>
    <t>SK0108</t>
  </si>
  <si>
    <t>SK0138</t>
  </si>
  <si>
    <t>SK0116</t>
  </si>
  <si>
    <t>Nadácia Zrak</t>
  </si>
  <si>
    <t>Hurbanova Ves</t>
  </si>
  <si>
    <t>SK0119</t>
  </si>
  <si>
    <t>Nitriansky samosprávny kraj</t>
  </si>
  <si>
    <t>SK0083</t>
  </si>
  <si>
    <t>finančný mechanizmus EHP</t>
  </si>
  <si>
    <t>Individuálny projekt</t>
  </si>
  <si>
    <t>Hlavné mesto Slovenskej republiky Bratislava</t>
  </si>
  <si>
    <t>SK0113</t>
  </si>
  <si>
    <t>SK0096</t>
  </si>
  <si>
    <t>Odborový zväz pracovníkov školstva a vedy</t>
  </si>
  <si>
    <t>SK0073</t>
  </si>
  <si>
    <t>SK0126</t>
  </si>
  <si>
    <t>Slovenská filharmónia</t>
  </si>
  <si>
    <t>SK0139</t>
  </si>
  <si>
    <t>"Drahuška a my...," o.z.</t>
  </si>
  <si>
    <t>SK0070</t>
  </si>
  <si>
    <t>PHOSTEC</t>
  </si>
  <si>
    <t>SK0068</t>
  </si>
  <si>
    <t>PANMED, Ldt.</t>
  </si>
  <si>
    <t>SK0014</t>
  </si>
  <si>
    <t>SK0098</t>
  </si>
  <si>
    <t>SK0099</t>
  </si>
  <si>
    <t>Obec Rohožník</t>
  </si>
  <si>
    <t>SK0137</t>
  </si>
  <si>
    <t>Mesto Handlová</t>
  </si>
  <si>
    <t>IP</t>
  </si>
  <si>
    <t>BG</t>
  </si>
  <si>
    <t>TA</t>
  </si>
  <si>
    <t>Technická univerzita              v Košiciach</t>
  </si>
  <si>
    <t>Ministerstvo vnútra SR</t>
  </si>
  <si>
    <t>% podiel schválených a predložených žiadostí na ÚFM na rozpočte IP</t>
  </si>
  <si>
    <t>% podiel uhradených prostriedkov z ÚFM na rozpočte IP</t>
  </si>
  <si>
    <t>Uhradené prostriedky z ÚFM</t>
  </si>
  <si>
    <t>FM EHP</t>
  </si>
  <si>
    <t>ŠR - FM EHP</t>
  </si>
  <si>
    <t>Spolu poskytnuté</t>
  </si>
  <si>
    <t>Nenávratná finančná pomoc</t>
  </si>
  <si>
    <t>NFP       -</t>
  </si>
  <si>
    <t>IP           -</t>
  </si>
  <si>
    <t>Alokácia podľa Grant Agreements</t>
  </si>
  <si>
    <t>EUROIURIS - Európske právne centrum, o.z.</t>
  </si>
  <si>
    <t>PRODUKT SK s.r.o.</t>
  </si>
  <si>
    <t>Priemerný potrebný mesačný % nárast čerpania do 30.04.2011</t>
  </si>
  <si>
    <t>Výskumný ústav vodného hospodárstva</t>
  </si>
  <si>
    <t>PHOSTEC, s.r.o.</t>
  </si>
  <si>
    <t>Štátna ochrana prírody Slovenskej republiky</t>
  </si>
  <si>
    <t>PANMED, s.r.o.</t>
  </si>
  <si>
    <t>Help, n.o.</t>
  </si>
  <si>
    <t>Slovenská zdravotnícka univerzita v Braislave</t>
  </si>
  <si>
    <t>Univerzita Komenského v Bratislave</t>
  </si>
  <si>
    <t>Sprostredkovateľ</t>
  </si>
  <si>
    <t>% podiel poskytnutých prostriedkov na rozpočte BG</t>
  </si>
  <si>
    <t>% schválených a predložených žiadostí na ÚFM</t>
  </si>
  <si>
    <t xml:space="preserve">SOCIA </t>
  </si>
  <si>
    <t>SAV</t>
  </si>
  <si>
    <t>SK0010</t>
  </si>
  <si>
    <t>NPOA</t>
  </si>
  <si>
    <t>SK0056</t>
  </si>
  <si>
    <t xml:space="preserve">Alokácia prostriedkov pre Sprostredkovateľov bola schválená v celkovej sume 366 201 300,65 Sk, z čoho bolo vyplatených formou preddavku do termínu 30.06.2008 </t>
  </si>
  <si>
    <t>celkovo 91 447 062,86 Sk. Z celkového počtu 12 prijatých žiadostí o platbu bolo do 30.06.2008 schválených 7.</t>
  </si>
  <si>
    <t xml:space="preserve">FM EHP </t>
  </si>
  <si>
    <t xml:space="preserve"> - finančný mechanizmus EHP</t>
  </si>
  <si>
    <t xml:space="preserve">NFM      </t>
  </si>
  <si>
    <t xml:space="preserve"> - Nórsky finančný mechanizmus</t>
  </si>
  <si>
    <t xml:space="preserve">ŽoP        </t>
  </si>
  <si>
    <t xml:space="preserve"> - Žiadosť o platbu</t>
  </si>
  <si>
    <t xml:space="preserve">ÚFM     </t>
  </si>
  <si>
    <t xml:space="preserve"> - Úrad pre finančné mechanizmy</t>
  </si>
  <si>
    <t xml:space="preserve">IP          </t>
  </si>
  <si>
    <t xml:space="preserve"> - Individuálny projekt</t>
  </si>
  <si>
    <t>Kumulatívny prehľad čerpania FM EHP/NFM k 31.12.2008 - Blokové granty</t>
  </si>
  <si>
    <t>spolu</t>
  </si>
  <si>
    <t>SK0093</t>
  </si>
  <si>
    <t>SK0100</t>
  </si>
  <si>
    <t xml:space="preserve"> - Blokový grant</t>
  </si>
  <si>
    <t xml:space="preserve">NFM    </t>
  </si>
  <si>
    <t xml:space="preserve">ŽoP      </t>
  </si>
  <si>
    <t>KP/KPP/SP</t>
  </si>
  <si>
    <t>% poskytnutých prostriedkov</t>
  </si>
  <si>
    <t xml:space="preserve"> donori</t>
  </si>
  <si>
    <t>NFP (SK0001) - Technická asistencia</t>
  </si>
  <si>
    <t>Sprostredkovatelia (Blokové granty)</t>
  </si>
  <si>
    <t>Koneční prijímatelia (individuálne projekty)</t>
  </si>
  <si>
    <t xml:space="preserve">Čistá alokácia </t>
  </si>
  <si>
    <t xml:space="preserve">     Zdroj: MF SR</t>
  </si>
  <si>
    <t xml:space="preserve">     Mena: EUR</t>
  </si>
  <si>
    <t xml:space="preserve">     Použité skratky:</t>
  </si>
  <si>
    <t xml:space="preserve">IP       </t>
  </si>
  <si>
    <t xml:space="preserve">TA          </t>
  </si>
  <si>
    <t xml:space="preserve"> - Technická asistencia</t>
  </si>
  <si>
    <t>Poskytnuté prostriedky spolu (donori + spolufinancovanie)</t>
  </si>
  <si>
    <t>Plat. orgánom schválené  a predložené ŽoP  na ÚFM (len časť donori)</t>
  </si>
  <si>
    <t xml:space="preserve">Uhradené prostriedky z ÚFM </t>
  </si>
  <si>
    <t>GA</t>
  </si>
  <si>
    <t xml:space="preserve"> - grantová zmluva (Grant Agreement)</t>
  </si>
  <si>
    <t>Podiel zúčtovaných prostriedkov na vyplatených</t>
  </si>
  <si>
    <t>Univerzita veterin. Lekárstva v Košiciach</t>
  </si>
  <si>
    <t>Čistá alokácia FM EHP a NFM</t>
  </si>
  <si>
    <t xml:space="preserve"> - žiadosť o platbu</t>
  </si>
  <si>
    <t xml:space="preserve"> - individuálny projekt</t>
  </si>
  <si>
    <t>spolufinanco-vanie zo ŠR</t>
  </si>
  <si>
    <t>Technická asistencia (ÚV SR, MF SR)</t>
  </si>
  <si>
    <t>Poznámka: Do čistej alokácie neboli zahrnuté projekty SK0079 a SK0091 z dôvodu odstúpenia KP od zmluvy.</t>
  </si>
  <si>
    <t>Kumulatívny prehľad čerpania a zúčtovania FM EHP/NFM k 30.06.2011 - Indviduálne projekty</t>
  </si>
  <si>
    <t>Kumulatívny prehľad čerpania a zúčtovania FM EHP/NFM k 30.06.2011 - Blokové granty</t>
  </si>
  <si>
    <t>Kumulatívny prehľad čerpania a zúčtovania FM EHP/NFM k 30.06.2011 - Technická asistencia</t>
  </si>
  <si>
    <t>Kumulatívny prehľad čerpania a zúčtovania FM EHP/NFM k 30.06.2011 - sumár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</si>
</sst>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0_ ;\-#,##0.00\ "/>
    <numFmt numFmtId="166" formatCode="#,##0.00\ [$€-1]"/>
    <numFmt numFmtId="167" formatCode="[$-41B]d\.\ mmmm\ yyyy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#,##0.00000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  <numFmt numFmtId="182" formatCode="#,##0.0"/>
    <numFmt numFmtId="183" formatCode="0.0%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sz val="8"/>
      <name val="Arial "/>
      <family val="0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48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4" fontId="1" fillId="24" borderId="13" xfId="0" applyNumberFormat="1" applyFont="1" applyFill="1" applyBorder="1" applyAlignment="1">
      <alignment wrapText="1"/>
    </xf>
    <xf numFmtId="4" fontId="1" fillId="24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center" wrapText="1"/>
    </xf>
    <xf numFmtId="4" fontId="1" fillId="0" borderId="26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center" wrapText="1"/>
    </xf>
    <xf numFmtId="4" fontId="1" fillId="0" borderId="30" xfId="0" applyNumberFormat="1" applyFont="1" applyFill="1" applyBorder="1" applyAlignment="1">
      <alignment horizontal="center" wrapText="1"/>
    </xf>
    <xf numFmtId="4" fontId="1" fillId="0" borderId="31" xfId="0" applyNumberFormat="1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center" wrapText="1"/>
    </xf>
    <xf numFmtId="4" fontId="1" fillId="0" borderId="34" xfId="0" applyNumberFormat="1" applyFont="1" applyFill="1" applyBorder="1" applyAlignment="1">
      <alignment horizontal="center" wrapText="1"/>
    </xf>
    <xf numFmtId="4" fontId="1" fillId="0" borderId="35" xfId="0" applyNumberFormat="1" applyFont="1" applyFill="1" applyBorder="1" applyAlignment="1">
      <alignment horizontal="center" wrapText="1"/>
    </xf>
    <xf numFmtId="4" fontId="1" fillId="0" borderId="36" xfId="0" applyNumberFormat="1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 horizontal="center" wrapText="1"/>
    </xf>
    <xf numFmtId="4" fontId="1" fillId="0" borderId="38" xfId="0" applyNumberFormat="1" applyFont="1" applyFill="1" applyBorder="1" applyAlignment="1">
      <alignment horizontal="center" wrapText="1"/>
    </xf>
    <xf numFmtId="4" fontId="1" fillId="0" borderId="39" xfId="0" applyNumberFormat="1" applyFont="1" applyFill="1" applyBorder="1" applyAlignment="1">
      <alignment horizontal="center" wrapText="1"/>
    </xf>
    <xf numFmtId="4" fontId="1" fillId="0" borderId="40" xfId="0" applyNumberFormat="1" applyFont="1" applyFill="1" applyBorder="1" applyAlignment="1">
      <alignment horizontal="center" wrapText="1"/>
    </xf>
    <xf numFmtId="4" fontId="1" fillId="0" borderId="4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 wrapText="1"/>
    </xf>
    <xf numFmtId="4" fontId="1" fillId="0" borderId="43" xfId="0" applyNumberFormat="1" applyFont="1" applyFill="1" applyBorder="1" applyAlignment="1">
      <alignment horizontal="center" wrapText="1"/>
    </xf>
    <xf numFmtId="4" fontId="1" fillId="0" borderId="44" xfId="0" applyNumberFormat="1" applyFont="1" applyFill="1" applyBorder="1" applyAlignment="1">
      <alignment horizontal="center" wrapText="1"/>
    </xf>
    <xf numFmtId="4" fontId="1" fillId="0" borderId="29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 wrapText="1"/>
    </xf>
    <xf numFmtId="4" fontId="1" fillId="0" borderId="46" xfId="0" applyNumberFormat="1" applyFont="1" applyFill="1" applyBorder="1" applyAlignment="1">
      <alignment horizontal="center" wrapText="1"/>
    </xf>
    <xf numFmtId="4" fontId="1" fillId="0" borderId="47" xfId="0" applyNumberFormat="1" applyFont="1" applyFill="1" applyBorder="1" applyAlignment="1">
      <alignment horizontal="center" wrapText="1"/>
    </xf>
    <xf numFmtId="4" fontId="1" fillId="0" borderId="48" xfId="0" applyNumberFormat="1" applyFont="1" applyFill="1" applyBorder="1" applyAlignment="1">
      <alignment horizontal="center" wrapText="1"/>
    </xf>
    <xf numFmtId="4" fontId="1" fillId="0" borderId="49" xfId="0" applyNumberFormat="1" applyFont="1" applyFill="1" applyBorder="1" applyAlignment="1">
      <alignment horizontal="center" wrapText="1"/>
    </xf>
    <xf numFmtId="4" fontId="1" fillId="0" borderId="50" xfId="0" applyNumberFormat="1" applyFont="1" applyFill="1" applyBorder="1" applyAlignment="1">
      <alignment horizontal="center" wrapText="1"/>
    </xf>
    <xf numFmtId="0" fontId="0" fillId="0" borderId="47" xfId="0" applyBorder="1" applyAlignment="1">
      <alignment/>
    </xf>
    <xf numFmtId="4" fontId="1" fillId="0" borderId="51" xfId="0" applyNumberFormat="1" applyFont="1" applyFill="1" applyBorder="1" applyAlignment="1">
      <alignment horizontal="center" wrapText="1"/>
    </xf>
    <xf numFmtId="4" fontId="1" fillId="0" borderId="52" xfId="0" applyNumberFormat="1" applyFont="1" applyFill="1" applyBorder="1" applyAlignment="1">
      <alignment horizontal="center" wrapText="1"/>
    </xf>
    <xf numFmtId="0" fontId="0" fillId="0" borderId="42" xfId="0" applyBorder="1" applyAlignment="1">
      <alignment/>
    </xf>
    <xf numFmtId="4" fontId="1" fillId="0" borderId="14" xfId="0" applyNumberFormat="1" applyFont="1" applyFill="1" applyBorder="1" applyAlignment="1">
      <alignment wrapText="1"/>
    </xf>
    <xf numFmtId="4" fontId="1" fillId="0" borderId="53" xfId="0" applyNumberFormat="1" applyFont="1" applyFill="1" applyBorder="1" applyAlignment="1">
      <alignment horizontal="center" wrapText="1"/>
    </xf>
    <xf numFmtId="4" fontId="1" fillId="0" borderId="54" xfId="0" applyNumberFormat="1" applyFont="1" applyFill="1" applyBorder="1" applyAlignment="1">
      <alignment horizontal="center" wrapText="1"/>
    </xf>
    <xf numFmtId="4" fontId="1" fillId="0" borderId="55" xfId="0" applyNumberFormat="1" applyFont="1" applyFill="1" applyBorder="1" applyAlignment="1">
      <alignment horizontal="center" wrapText="1"/>
    </xf>
    <xf numFmtId="4" fontId="1" fillId="0" borderId="56" xfId="0" applyNumberFormat="1" applyFont="1" applyFill="1" applyBorder="1" applyAlignment="1">
      <alignment horizontal="center" wrapText="1"/>
    </xf>
    <xf numFmtId="4" fontId="1" fillId="24" borderId="57" xfId="0" applyNumberFormat="1" applyFont="1" applyFill="1" applyBorder="1" applyAlignment="1">
      <alignment horizontal="center" wrapText="1"/>
    </xf>
    <xf numFmtId="4" fontId="1" fillId="24" borderId="13" xfId="0" applyNumberFormat="1" applyFont="1" applyFill="1" applyBorder="1" applyAlignment="1">
      <alignment horizontal="center" wrapText="1"/>
    </xf>
    <xf numFmtId="0" fontId="1" fillId="4" borderId="5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15" borderId="0" xfId="0" applyFont="1" applyFill="1" applyAlignment="1">
      <alignment/>
    </xf>
    <xf numFmtId="0" fontId="1" fillId="15" borderId="0" xfId="0" applyFont="1" applyFill="1" applyAlignment="1">
      <alignment/>
    </xf>
    <xf numFmtId="0" fontId="1" fillId="1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4" fontId="1" fillId="24" borderId="54" xfId="0" applyNumberFormat="1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24" borderId="13" xfId="0" applyNumberFormat="1" applyFont="1" applyFill="1" applyBorder="1" applyAlignment="1">
      <alignment horizontal="center"/>
    </xf>
    <xf numFmtId="4" fontId="1" fillId="24" borderId="41" xfId="0" applyNumberFormat="1" applyFont="1" applyFill="1" applyBorder="1" applyAlignment="1">
      <alignment horizontal="center"/>
    </xf>
    <xf numFmtId="4" fontId="1" fillId="24" borderId="46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4" fontId="1" fillId="24" borderId="46" xfId="0" applyNumberFormat="1" applyFont="1" applyFill="1" applyBorder="1" applyAlignment="1">
      <alignment horizontal="center" wrapText="1"/>
    </xf>
    <xf numFmtId="4" fontId="1" fillId="24" borderId="14" xfId="0" applyNumberFormat="1" applyFont="1" applyFill="1" applyBorder="1" applyAlignment="1">
      <alignment horizontal="center" wrapText="1"/>
    </xf>
    <xf numFmtId="4" fontId="1" fillId="0" borderId="59" xfId="0" applyNumberFormat="1" applyFont="1" applyFill="1" applyBorder="1" applyAlignment="1">
      <alignment horizontal="center" wrapText="1"/>
    </xf>
    <xf numFmtId="4" fontId="1" fillId="0" borderId="60" xfId="0" applyNumberFormat="1" applyFont="1" applyFill="1" applyBorder="1" applyAlignment="1">
      <alignment horizontal="center" wrapText="1"/>
    </xf>
    <xf numFmtId="4" fontId="1" fillId="0" borderId="57" xfId="0" applyNumberFormat="1" applyFont="1" applyBorder="1" applyAlignment="1">
      <alignment horizontal="center" wrapText="1"/>
    </xf>
    <xf numFmtId="4" fontId="1" fillId="0" borderId="61" xfId="0" applyNumberFormat="1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4" borderId="18" xfId="0" applyNumberFormat="1" applyFont="1" applyFill="1" applyBorder="1" applyAlignment="1">
      <alignment/>
    </xf>
    <xf numFmtId="0" fontId="0" fillId="15" borderId="0" xfId="0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3" xfId="0" applyBorder="1" applyAlignment="1">
      <alignment/>
    </xf>
    <xf numFmtId="0" fontId="2" fillId="0" borderId="63" xfId="0" applyFont="1" applyBorder="1" applyAlignment="1">
      <alignment/>
    </xf>
    <xf numFmtId="0" fontId="0" fillId="24" borderId="0" xfId="0" applyFill="1" applyBorder="1" applyAlignment="1">
      <alignment horizontal="center"/>
    </xf>
    <xf numFmtId="0" fontId="2" fillId="24" borderId="35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/>
    </xf>
    <xf numFmtId="4" fontId="1" fillId="24" borderId="35" xfId="0" applyNumberFormat="1" applyFont="1" applyFill="1" applyBorder="1" applyAlignment="1">
      <alignment wrapText="1"/>
    </xf>
    <xf numFmtId="4" fontId="1" fillId="24" borderId="35" xfId="0" applyNumberFormat="1" applyFont="1" applyFill="1" applyBorder="1" applyAlignment="1">
      <alignment horizontal="center" wrapText="1"/>
    </xf>
    <xf numFmtId="4" fontId="3" fillId="24" borderId="35" xfId="0" applyNumberFormat="1" applyFont="1" applyFill="1" applyBorder="1" applyAlignment="1">
      <alignment horizontal="center" wrapText="1"/>
    </xf>
    <xf numFmtId="4" fontId="1" fillId="24" borderId="64" xfId="0" applyNumberFormat="1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center" wrapText="1"/>
    </xf>
    <xf numFmtId="4" fontId="1" fillId="24" borderId="64" xfId="0" applyNumberFormat="1" applyFont="1" applyFill="1" applyBorder="1" applyAlignment="1">
      <alignment wrapText="1"/>
    </xf>
    <xf numFmtId="4" fontId="1" fillId="24" borderId="0" xfId="0" applyNumberFormat="1" applyFont="1" applyFill="1" applyBorder="1" applyAlignment="1">
      <alignment wrapText="1"/>
    </xf>
    <xf numFmtId="0" fontId="2" fillId="24" borderId="35" xfId="0" applyFont="1" applyFill="1" applyBorder="1" applyAlignment="1">
      <alignment/>
    </xf>
    <xf numFmtId="0" fontId="2" fillId="24" borderId="35" xfId="0" applyFont="1" applyFill="1" applyBorder="1" applyAlignment="1">
      <alignment horizontal="center"/>
    </xf>
    <xf numFmtId="4" fontId="2" fillId="24" borderId="35" xfId="0" applyNumberFormat="1" applyFont="1" applyFill="1" applyBorder="1" applyAlignment="1">
      <alignment/>
    </xf>
    <xf numFmtId="0" fontId="2" fillId="24" borderId="64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17" borderId="0" xfId="0" applyFill="1" applyBorder="1" applyAlignment="1">
      <alignment horizontal="center"/>
    </xf>
    <xf numFmtId="0" fontId="2" fillId="4" borderId="65" xfId="0" applyFont="1" applyFill="1" applyBorder="1" applyAlignment="1">
      <alignment horizontal="center" wrapText="1"/>
    </xf>
    <xf numFmtId="4" fontId="9" fillId="24" borderId="13" xfId="0" applyNumberFormat="1" applyFont="1" applyFill="1" applyBorder="1" applyAlignment="1">
      <alignment wrapText="1"/>
    </xf>
    <xf numFmtId="4" fontId="9" fillId="24" borderId="14" xfId="0" applyNumberFormat="1" applyFont="1" applyFill="1" applyBorder="1" applyAlignment="1">
      <alignment wrapText="1"/>
    </xf>
    <xf numFmtId="4" fontId="9" fillId="0" borderId="23" xfId="0" applyNumberFormat="1" applyFont="1" applyFill="1" applyBorder="1" applyAlignment="1">
      <alignment horizontal="center" wrapText="1"/>
    </xf>
    <xf numFmtId="4" fontId="9" fillId="0" borderId="21" xfId="0" applyNumberFormat="1" applyFont="1" applyFill="1" applyBorder="1" applyAlignment="1">
      <alignment horizontal="center" wrapText="1"/>
    </xf>
    <xf numFmtId="4" fontId="9" fillId="0" borderId="16" xfId="0" applyNumberFormat="1" applyFont="1" applyFill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center" wrapText="1"/>
    </xf>
    <xf numFmtId="4" fontId="9" fillId="0" borderId="27" xfId="0" applyNumberFormat="1" applyFont="1" applyFill="1" applyBorder="1" applyAlignment="1">
      <alignment horizontal="center" wrapText="1"/>
    </xf>
    <xf numFmtId="4" fontId="10" fillId="0" borderId="66" xfId="0" applyNumberFormat="1" applyFont="1" applyFill="1" applyBorder="1" applyAlignment="1">
      <alignment horizontal="center" wrapText="1"/>
    </xf>
    <xf numFmtId="4" fontId="0" fillId="0" borderId="41" xfId="0" applyNumberFormat="1" applyBorder="1" applyAlignment="1">
      <alignment/>
    </xf>
    <xf numFmtId="0" fontId="0" fillId="21" borderId="0" xfId="0" applyFill="1" applyAlignment="1">
      <alignment/>
    </xf>
    <xf numFmtId="4" fontId="9" fillId="25" borderId="60" xfId="0" applyNumberFormat="1" applyFont="1" applyFill="1" applyBorder="1" applyAlignment="1">
      <alignment horizontal="center" wrapText="1"/>
    </xf>
    <xf numFmtId="4" fontId="9" fillId="25" borderId="67" xfId="0" applyNumberFormat="1" applyFont="1" applyFill="1" applyBorder="1" applyAlignment="1">
      <alignment horizontal="center" wrapText="1"/>
    </xf>
    <xf numFmtId="4" fontId="9" fillId="25" borderId="29" xfId="0" applyNumberFormat="1" applyFont="1" applyFill="1" applyBorder="1" applyAlignment="1">
      <alignment horizontal="center" wrapText="1"/>
    </xf>
    <xf numFmtId="4" fontId="9" fillId="25" borderId="19" xfId="0" applyNumberFormat="1" applyFont="1" applyFill="1" applyBorder="1" applyAlignment="1">
      <alignment horizontal="center" wrapText="1"/>
    </xf>
    <xf numFmtId="4" fontId="9" fillId="0" borderId="62" xfId="0" applyNumberFormat="1" applyFont="1" applyFill="1" applyBorder="1" applyAlignment="1">
      <alignment horizontal="center" wrapText="1"/>
    </xf>
    <xf numFmtId="4" fontId="1" fillId="0" borderId="47" xfId="0" applyNumberFormat="1" applyFont="1" applyFill="1" applyBorder="1" applyAlignment="1">
      <alignment wrapText="1"/>
    </xf>
    <xf numFmtId="4" fontId="0" fillId="0" borderId="48" xfId="0" applyNumberFormat="1" applyBorder="1" applyAlignment="1">
      <alignment/>
    </xf>
    <xf numFmtId="4" fontId="9" fillId="0" borderId="13" xfId="0" applyNumberFormat="1" applyFont="1" applyFill="1" applyBorder="1" applyAlignment="1">
      <alignment horizontal="center" wrapText="1"/>
    </xf>
    <xf numFmtId="4" fontId="10" fillId="0" borderId="68" xfId="0" applyNumberFormat="1" applyFont="1" applyFill="1" applyBorder="1" applyAlignment="1">
      <alignment horizontal="center" wrapText="1"/>
    </xf>
    <xf numFmtId="4" fontId="0" fillId="0" borderId="51" xfId="0" applyNumberFormat="1" applyBorder="1" applyAlignment="1">
      <alignment/>
    </xf>
    <xf numFmtId="4" fontId="9" fillId="0" borderId="25" xfId="0" applyNumberFormat="1" applyFont="1" applyFill="1" applyBorder="1" applyAlignment="1">
      <alignment horizontal="center" wrapText="1"/>
    </xf>
    <xf numFmtId="4" fontId="9" fillId="25" borderId="49" xfId="0" applyNumberFormat="1" applyFont="1" applyFill="1" applyBorder="1" applyAlignment="1">
      <alignment horizontal="center" wrapText="1"/>
    </xf>
    <xf numFmtId="4" fontId="9" fillId="25" borderId="25" xfId="0" applyNumberFormat="1" applyFont="1" applyFill="1" applyBorder="1" applyAlignment="1">
      <alignment horizontal="center" wrapText="1"/>
    </xf>
    <xf numFmtId="4" fontId="9" fillId="25" borderId="39" xfId="0" applyNumberFormat="1" applyFont="1" applyFill="1" applyBorder="1" applyAlignment="1">
      <alignment horizontal="center" wrapText="1"/>
    </xf>
    <xf numFmtId="4" fontId="9" fillId="0" borderId="69" xfId="0" applyNumberFormat="1" applyFont="1" applyFill="1" applyBorder="1" applyAlignment="1">
      <alignment horizontal="center" wrapText="1"/>
    </xf>
    <xf numFmtId="4" fontId="0" fillId="0" borderId="50" xfId="0" applyNumberFormat="1" applyBorder="1" applyAlignment="1">
      <alignment/>
    </xf>
    <xf numFmtId="4" fontId="9" fillId="0" borderId="29" xfId="0" applyNumberFormat="1" applyFont="1" applyFill="1" applyBorder="1" applyAlignment="1">
      <alignment horizontal="center" wrapText="1"/>
    </xf>
    <xf numFmtId="4" fontId="9" fillId="0" borderId="56" xfId="0" applyNumberFormat="1" applyFont="1" applyFill="1" applyBorder="1" applyAlignment="1">
      <alignment horizontal="center" wrapText="1"/>
    </xf>
    <xf numFmtId="4" fontId="9" fillId="0" borderId="28" xfId="0" applyNumberFormat="1" applyFont="1" applyFill="1" applyBorder="1" applyAlignment="1">
      <alignment horizontal="center" wrapText="1"/>
    </xf>
    <xf numFmtId="4" fontId="9" fillId="0" borderId="70" xfId="0" applyNumberFormat="1" applyFont="1" applyFill="1" applyBorder="1" applyAlignment="1">
      <alignment horizontal="center" wrapText="1"/>
    </xf>
    <xf numFmtId="4" fontId="9" fillId="24" borderId="15" xfId="0" applyNumberFormat="1" applyFont="1" applyFill="1" applyBorder="1" applyAlignment="1">
      <alignment wrapText="1"/>
    </xf>
    <xf numFmtId="4" fontId="9" fillId="25" borderId="28" xfId="0" applyNumberFormat="1" applyFont="1" applyFill="1" applyBorder="1" applyAlignment="1">
      <alignment horizontal="center" wrapText="1"/>
    </xf>
    <xf numFmtId="4" fontId="9" fillId="25" borderId="56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60" xfId="0" applyNumberFormat="1" applyFont="1" applyFill="1" applyBorder="1" applyAlignment="1">
      <alignment horizontal="center" wrapText="1"/>
    </xf>
    <xf numFmtId="4" fontId="3" fillId="0" borderId="66" xfId="0" applyNumberFormat="1" applyFont="1" applyFill="1" applyBorder="1" applyAlignment="1">
      <alignment horizontal="center" wrapText="1"/>
    </xf>
    <xf numFmtId="4" fontId="3" fillId="0" borderId="68" xfId="0" applyNumberFormat="1" applyFont="1" applyFill="1" applyBorder="1" applyAlignment="1">
      <alignment horizontal="center" wrapText="1"/>
    </xf>
    <xf numFmtId="4" fontId="1" fillId="0" borderId="69" xfId="0" applyNumberFormat="1" applyFont="1" applyFill="1" applyBorder="1" applyAlignment="1">
      <alignment horizontal="center" wrapText="1"/>
    </xf>
    <xf numFmtId="4" fontId="1" fillId="0" borderId="70" xfId="0" applyNumberFormat="1" applyFont="1" applyFill="1" applyBorder="1" applyAlignment="1">
      <alignment horizontal="center" wrapText="1"/>
    </xf>
    <xf numFmtId="4" fontId="1" fillId="24" borderId="15" xfId="0" applyNumberFormat="1" applyFont="1" applyFill="1" applyBorder="1" applyAlignment="1">
      <alignment wrapText="1"/>
    </xf>
    <xf numFmtId="4" fontId="1" fillId="25" borderId="28" xfId="0" applyNumberFormat="1" applyFont="1" applyFill="1" applyBorder="1" applyAlignment="1">
      <alignment horizontal="center" wrapText="1"/>
    </xf>
    <xf numFmtId="4" fontId="1" fillId="25" borderId="29" xfId="0" applyNumberFormat="1" applyFont="1" applyFill="1" applyBorder="1" applyAlignment="1">
      <alignment horizontal="center" wrapText="1"/>
    </xf>
    <xf numFmtId="4" fontId="1" fillId="25" borderId="56" xfId="0" applyNumberFormat="1" applyFont="1" applyFill="1" applyBorder="1" applyAlignment="1">
      <alignment horizontal="center" wrapText="1"/>
    </xf>
    <xf numFmtId="4" fontId="0" fillId="0" borderId="47" xfId="0" applyNumberFormat="1" applyBorder="1" applyAlignment="1">
      <alignment/>
    </xf>
    <xf numFmtId="4" fontId="1" fillId="25" borderId="36" xfId="0" applyNumberFormat="1" applyFont="1" applyFill="1" applyBorder="1" applyAlignment="1">
      <alignment horizontal="center" wrapText="1"/>
    </xf>
    <xf numFmtId="4" fontId="1" fillId="25" borderId="38" xfId="0" applyNumberFormat="1" applyFont="1" applyFill="1" applyBorder="1" applyAlignment="1">
      <alignment horizontal="center" wrapText="1"/>
    </xf>
    <xf numFmtId="4" fontId="1" fillId="0" borderId="66" xfId="0" applyNumberFormat="1" applyFont="1" applyFill="1" applyBorder="1" applyAlignment="1">
      <alignment horizontal="center" wrapText="1"/>
    </xf>
    <xf numFmtId="4" fontId="0" fillId="0" borderId="44" xfId="0" applyNumberFormat="1" applyBorder="1" applyAlignment="1">
      <alignment/>
    </xf>
    <xf numFmtId="4" fontId="1" fillId="25" borderId="18" xfId="0" applyNumberFormat="1" applyFont="1" applyFill="1" applyBorder="1" applyAlignment="1">
      <alignment horizontal="center" wrapText="1"/>
    </xf>
    <xf numFmtId="4" fontId="1" fillId="25" borderId="52" xfId="0" applyNumberFormat="1" applyFont="1" applyFill="1" applyBorder="1" applyAlignment="1">
      <alignment horizontal="center" wrapText="1"/>
    </xf>
    <xf numFmtId="4" fontId="1" fillId="25" borderId="19" xfId="0" applyNumberFormat="1" applyFont="1" applyFill="1" applyBorder="1" applyAlignment="1">
      <alignment horizontal="center" wrapText="1"/>
    </xf>
    <xf numFmtId="4" fontId="1" fillId="24" borderId="23" xfId="0" applyNumberFormat="1" applyFont="1" applyFill="1" applyBorder="1" applyAlignment="1">
      <alignment horizontal="center" wrapText="1"/>
    </xf>
    <xf numFmtId="4" fontId="1" fillId="24" borderId="21" xfId="0" applyNumberFormat="1" applyFont="1" applyFill="1" applyBorder="1" applyAlignment="1">
      <alignment horizontal="center" wrapText="1"/>
    </xf>
    <xf numFmtId="4" fontId="1" fillId="24" borderId="36" xfId="0" applyNumberFormat="1" applyFont="1" applyFill="1" applyBorder="1" applyAlignment="1">
      <alignment horizontal="center" wrapText="1"/>
    </xf>
    <xf numFmtId="4" fontId="1" fillId="24" borderId="38" xfId="0" applyNumberFormat="1" applyFont="1" applyFill="1" applyBorder="1" applyAlignment="1">
      <alignment horizontal="center" wrapText="1"/>
    </xf>
    <xf numFmtId="4" fontId="1" fillId="0" borderId="71" xfId="0" applyNumberFormat="1" applyFont="1" applyFill="1" applyBorder="1" applyAlignment="1">
      <alignment horizontal="center" wrapText="1"/>
    </xf>
    <xf numFmtId="4" fontId="9" fillId="25" borderId="72" xfId="0" applyNumberFormat="1" applyFont="1" applyFill="1" applyBorder="1" applyAlignment="1">
      <alignment horizontal="center" wrapText="1"/>
    </xf>
    <xf numFmtId="4" fontId="9" fillId="25" borderId="38" xfId="0" applyNumberFormat="1" applyFont="1" applyFill="1" applyBorder="1" applyAlignment="1">
      <alignment horizontal="center" wrapText="1"/>
    </xf>
    <xf numFmtId="4" fontId="9" fillId="25" borderId="45" xfId="0" applyNumberFormat="1" applyFont="1" applyFill="1" applyBorder="1" applyAlignment="1">
      <alignment horizontal="center" wrapText="1"/>
    </xf>
    <xf numFmtId="4" fontId="1" fillId="24" borderId="19" xfId="0" applyNumberFormat="1" applyFont="1" applyFill="1" applyBorder="1" applyAlignment="1">
      <alignment horizontal="center" wrapText="1"/>
    </xf>
    <xf numFmtId="4" fontId="1" fillId="24" borderId="31" xfId="0" applyNumberFormat="1" applyFont="1" applyFill="1" applyBorder="1" applyAlignment="1">
      <alignment horizontal="center" wrapText="1"/>
    </xf>
    <xf numFmtId="4" fontId="1" fillId="25" borderId="13" xfId="0" applyNumberFormat="1" applyFont="1" applyFill="1" applyBorder="1" applyAlignment="1">
      <alignment horizontal="center" wrapText="1"/>
    </xf>
    <xf numFmtId="4" fontId="1" fillId="25" borderId="23" xfId="0" applyNumberFormat="1" applyFont="1" applyFill="1" applyBorder="1" applyAlignment="1">
      <alignment horizontal="center" wrapText="1"/>
    </xf>
    <xf numFmtId="4" fontId="1" fillId="25" borderId="40" xfId="0" applyNumberFormat="1" applyFont="1" applyFill="1" applyBorder="1" applyAlignment="1">
      <alignment horizontal="center" wrapText="1"/>
    </xf>
    <xf numFmtId="4" fontId="1" fillId="0" borderId="68" xfId="0" applyNumberFormat="1" applyFont="1" applyFill="1" applyBorder="1" applyAlignment="1">
      <alignment horizontal="center" wrapText="1"/>
    </xf>
    <xf numFmtId="4" fontId="1" fillId="25" borderId="16" xfId="0" applyNumberFormat="1" applyFont="1" applyFill="1" applyBorder="1" applyAlignment="1">
      <alignment horizontal="center" wrapText="1"/>
    </xf>
    <xf numFmtId="4" fontId="1" fillId="25" borderId="35" xfId="0" applyNumberFormat="1" applyFont="1" applyFill="1" applyBorder="1" applyAlignment="1">
      <alignment horizontal="center" wrapText="1"/>
    </xf>
    <xf numFmtId="4" fontId="1" fillId="25" borderId="43" xfId="0" applyNumberFormat="1" applyFont="1" applyFill="1" applyBorder="1" applyAlignment="1">
      <alignment horizontal="center" wrapText="1"/>
    </xf>
    <xf numFmtId="4" fontId="1" fillId="25" borderId="32" xfId="0" applyNumberFormat="1" applyFont="1" applyFill="1" applyBorder="1" applyAlignment="1">
      <alignment horizontal="center" wrapText="1"/>
    </xf>
    <xf numFmtId="4" fontId="1" fillId="25" borderId="33" xfId="0" applyNumberFormat="1" applyFont="1" applyFill="1" applyBorder="1" applyAlignment="1">
      <alignment horizontal="center" wrapText="1"/>
    </xf>
    <xf numFmtId="4" fontId="1" fillId="25" borderId="0" xfId="0" applyNumberFormat="1" applyFont="1" applyFill="1" applyBorder="1" applyAlignment="1">
      <alignment horizontal="center" wrapText="1"/>
    </xf>
    <xf numFmtId="4" fontId="1" fillId="0" borderId="7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74" xfId="0" applyNumberFormat="1" applyFont="1" applyFill="1" applyBorder="1" applyAlignment="1">
      <alignment horizontal="center" wrapText="1"/>
    </xf>
    <xf numFmtId="0" fontId="2" fillId="4" borderId="58" xfId="0" applyFont="1" applyFill="1" applyBorder="1" applyAlignment="1">
      <alignment horizontal="center"/>
    </xf>
    <xf numFmtId="4" fontId="2" fillId="4" borderId="58" xfId="0" applyNumberFormat="1" applyFont="1" applyFill="1" applyBorder="1" applyAlignment="1">
      <alignment horizontal="center"/>
    </xf>
    <xf numFmtId="2" fontId="2" fillId="4" borderId="5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0" xfId="0" applyFont="1" applyFill="1" applyBorder="1" applyAlignment="1">
      <alignment horizontal="center" wrapText="1"/>
    </xf>
    <xf numFmtId="0" fontId="2" fillId="4" borderId="59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horizontal="center" wrapText="1"/>
    </xf>
    <xf numFmtId="4" fontId="9" fillId="0" borderId="17" xfId="0" applyNumberFormat="1" applyFont="1" applyFill="1" applyBorder="1" applyAlignment="1">
      <alignment horizontal="center" wrapText="1"/>
    </xf>
    <xf numFmtId="4" fontId="10" fillId="0" borderId="16" xfId="0" applyNumberFormat="1" applyFont="1" applyFill="1" applyBorder="1" applyAlignment="1">
      <alignment horizontal="center" wrapText="1"/>
    </xf>
    <xf numFmtId="4" fontId="9" fillId="0" borderId="2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wrapText="1"/>
    </xf>
    <xf numFmtId="4" fontId="10" fillId="0" borderId="13" xfId="0" applyNumberFormat="1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center" wrapText="1"/>
    </xf>
    <xf numFmtId="4" fontId="9" fillId="0" borderId="49" xfId="0" applyNumberFormat="1" applyFont="1" applyFill="1" applyBorder="1" applyAlignment="1">
      <alignment horizontal="center" wrapText="1"/>
    </xf>
    <xf numFmtId="4" fontId="9" fillId="0" borderId="3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4" fontId="1" fillId="0" borderId="75" xfId="0" applyNumberFormat="1" applyFont="1" applyFill="1" applyBorder="1" applyAlignment="1">
      <alignment horizontal="center" wrapText="1"/>
    </xf>
    <xf numFmtId="4" fontId="3" fillId="24" borderId="22" xfId="0" applyNumberFormat="1" applyFont="1" applyFill="1" applyBorder="1" applyAlignment="1">
      <alignment horizontal="center" wrapText="1"/>
    </xf>
    <xf numFmtId="4" fontId="1" fillId="24" borderId="22" xfId="0" applyNumberFormat="1" applyFont="1" applyFill="1" applyBorder="1" applyAlignment="1">
      <alignment horizontal="center" wrapText="1"/>
    </xf>
    <xf numFmtId="4" fontId="1" fillId="24" borderId="76" xfId="0" applyNumberFormat="1" applyFont="1" applyFill="1" applyBorder="1" applyAlignment="1">
      <alignment horizontal="center" wrapText="1"/>
    </xf>
    <xf numFmtId="0" fontId="0" fillId="0" borderId="76" xfId="0" applyBorder="1" applyAlignment="1">
      <alignment/>
    </xf>
    <xf numFmtId="0" fontId="0" fillId="0" borderId="57" xfId="0" applyBorder="1" applyAlignment="1">
      <alignment/>
    </xf>
    <xf numFmtId="4" fontId="1" fillId="24" borderId="37" xfId="0" applyNumberFormat="1" applyFont="1" applyFill="1" applyBorder="1" applyAlignment="1">
      <alignment horizontal="center" wrapText="1"/>
    </xf>
    <xf numFmtId="4" fontId="3" fillId="24" borderId="6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1" fillId="24" borderId="29" xfId="0" applyNumberFormat="1" applyFont="1" applyFill="1" applyBorder="1" applyAlignment="1">
      <alignment horizontal="center" wrapText="1"/>
    </xf>
    <xf numFmtId="4" fontId="1" fillId="24" borderId="28" xfId="0" applyNumberFormat="1" applyFont="1" applyFill="1" applyBorder="1" applyAlignment="1">
      <alignment horizontal="center" wrapText="1"/>
    </xf>
    <xf numFmtId="4" fontId="1" fillId="24" borderId="30" xfId="0" applyNumberFormat="1" applyFont="1" applyFill="1" applyBorder="1" applyAlignment="1">
      <alignment horizontal="center" wrapText="1"/>
    </xf>
    <xf numFmtId="4" fontId="3" fillId="24" borderId="75" xfId="0" applyNumberFormat="1" applyFont="1" applyFill="1" applyBorder="1" applyAlignment="1">
      <alignment horizontal="center" wrapText="1"/>
    </xf>
    <xf numFmtId="0" fontId="0" fillId="24" borderId="75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0" borderId="52" xfId="0" applyBorder="1" applyAlignment="1">
      <alignment/>
    </xf>
    <xf numFmtId="4" fontId="3" fillId="0" borderId="22" xfId="0" applyNumberFormat="1" applyFont="1" applyFill="1" applyBorder="1" applyAlignment="1">
      <alignment horizontal="center" wrapText="1"/>
    </xf>
    <xf numFmtId="4" fontId="3" fillId="0" borderId="63" xfId="0" applyNumberFormat="1" applyFont="1" applyFill="1" applyBorder="1" applyAlignment="1">
      <alignment horizontal="center" wrapText="1"/>
    </xf>
    <xf numFmtId="4" fontId="3" fillId="0" borderId="59" xfId="0" applyNumberFormat="1" applyFont="1" applyFill="1" applyBorder="1" applyAlignment="1">
      <alignment horizontal="center" wrapText="1"/>
    </xf>
    <xf numFmtId="4" fontId="3" fillId="0" borderId="77" xfId="0" applyNumberFormat="1" applyFont="1" applyFill="1" applyBorder="1" applyAlignment="1">
      <alignment horizontal="center" wrapText="1"/>
    </xf>
    <xf numFmtId="4" fontId="0" fillId="0" borderId="36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4" fontId="3" fillId="0" borderId="64" xfId="0" applyNumberFormat="1" applyFont="1" applyFill="1" applyBorder="1" applyAlignment="1">
      <alignment horizontal="center" wrapText="1"/>
    </xf>
    <xf numFmtId="0" fontId="2" fillId="4" borderId="58" xfId="0" applyFont="1" applyFill="1" applyBorder="1" applyAlignment="1">
      <alignment/>
    </xf>
    <xf numFmtId="0" fontId="2" fillId="4" borderId="62" xfId="0" applyFont="1" applyFill="1" applyBorder="1" applyAlignment="1">
      <alignment horizontal="center"/>
    </xf>
    <xf numFmtId="0" fontId="2" fillId="4" borderId="67" xfId="0" applyFont="1" applyFill="1" applyBorder="1" applyAlignment="1">
      <alignment/>
    </xf>
    <xf numFmtId="0" fontId="2" fillId="4" borderId="52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2" fontId="2" fillId="4" borderId="47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15" borderId="0" xfId="0" applyFill="1" applyBorder="1" applyAlignment="1">
      <alignment/>
    </xf>
    <xf numFmtId="0" fontId="1" fillId="0" borderId="0" xfId="0" applyFont="1" applyBorder="1" applyAlignment="1">
      <alignment/>
    </xf>
    <xf numFmtId="4" fontId="1" fillId="0" borderId="76" xfId="0" applyNumberFormat="1" applyFont="1" applyBorder="1" applyAlignment="1">
      <alignment horizontal="center" wrapText="1"/>
    </xf>
    <xf numFmtId="0" fontId="3" fillId="4" borderId="79" xfId="0" applyFont="1" applyFill="1" applyBorder="1" applyAlignment="1">
      <alignment horizontal="center"/>
    </xf>
    <xf numFmtId="0" fontId="3" fillId="4" borderId="80" xfId="0" applyFont="1" applyFill="1" applyBorder="1" applyAlignment="1">
      <alignment horizontal="center" wrapText="1"/>
    </xf>
    <xf numFmtId="165" fontId="1" fillId="0" borderId="36" xfId="38" applyNumberFormat="1" applyFont="1" applyFill="1" applyBorder="1" applyAlignment="1">
      <alignment horizontal="center" wrapText="1"/>
    </xf>
    <xf numFmtId="165" fontId="1" fillId="0" borderId="35" xfId="38" applyNumberFormat="1" applyFont="1" applyFill="1" applyBorder="1" applyAlignment="1">
      <alignment horizontal="center" wrapText="1"/>
    </xf>
    <xf numFmtId="165" fontId="1" fillId="0" borderId="37" xfId="38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/>
    </xf>
    <xf numFmtId="4" fontId="1" fillId="24" borderId="36" xfId="0" applyNumberFormat="1" applyFont="1" applyFill="1" applyBorder="1" applyAlignment="1">
      <alignment horizontal="center"/>
    </xf>
    <xf numFmtId="4" fontId="1" fillId="24" borderId="35" xfId="0" applyNumberFormat="1" applyFont="1" applyFill="1" applyBorder="1" applyAlignment="1">
      <alignment horizontal="center"/>
    </xf>
    <xf numFmtId="4" fontId="1" fillId="24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166" fontId="15" fillId="0" borderId="0" xfId="45" applyNumberFormat="1" applyFont="1" applyFill="1" applyBorder="1" applyAlignment="1">
      <alignment horizontal="center" vertical="center"/>
      <protection/>
    </xf>
    <xf numFmtId="4" fontId="1" fillId="0" borderId="4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4" fontId="3" fillId="4" borderId="11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58" xfId="0" applyNumberFormat="1" applyFont="1" applyFill="1" applyBorder="1" applyAlignment="1">
      <alignment horizontal="center"/>
    </xf>
    <xf numFmtId="4" fontId="3" fillId="4" borderId="81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1" fillId="0" borderId="36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8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/>
    </xf>
    <xf numFmtId="4" fontId="16" fillId="24" borderId="13" xfId="0" applyNumberFormat="1" applyFont="1" applyFill="1" applyBorder="1" applyAlignment="1">
      <alignment horizontal="center" wrapText="1"/>
    </xf>
    <xf numFmtId="4" fontId="16" fillId="24" borderId="4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2" fontId="0" fillId="0" borderId="61" xfId="0" applyNumberFormat="1" applyFill="1" applyBorder="1" applyAlignment="1">
      <alignment horizontal="center"/>
    </xf>
    <xf numFmtId="4" fontId="1" fillId="24" borderId="41" xfId="0" applyNumberFormat="1" applyFont="1" applyFill="1" applyBorder="1" applyAlignment="1">
      <alignment horizontal="center" wrapText="1"/>
    </xf>
    <xf numFmtId="4" fontId="1" fillId="0" borderId="40" xfId="0" applyNumberFormat="1" applyFont="1" applyFill="1" applyBorder="1" applyAlignment="1">
      <alignment horizontal="center"/>
    </xf>
    <xf numFmtId="4" fontId="1" fillId="24" borderId="13" xfId="0" applyNumberFormat="1" applyFont="1" applyFill="1" applyBorder="1" applyAlignment="1">
      <alignment horizontal="center"/>
    </xf>
    <xf numFmtId="4" fontId="1" fillId="24" borderId="23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4" fontId="1" fillId="24" borderId="37" xfId="0" applyNumberFormat="1" applyFont="1" applyFill="1" applyBorder="1" applyAlignment="1">
      <alignment horizontal="center"/>
    </xf>
    <xf numFmtId="4" fontId="1" fillId="24" borderId="13" xfId="0" applyNumberFormat="1" applyFont="1" applyFill="1" applyBorder="1" applyAlignment="1">
      <alignment horizontal="center" wrapText="1"/>
    </xf>
    <xf numFmtId="4" fontId="1" fillId="24" borderId="23" xfId="0" applyNumberFormat="1" applyFont="1" applyFill="1" applyBorder="1" applyAlignment="1">
      <alignment horizontal="center" wrapText="1"/>
    </xf>
    <xf numFmtId="4" fontId="1" fillId="24" borderId="14" xfId="0" applyNumberFormat="1" applyFont="1" applyFill="1" applyBorder="1" applyAlignment="1">
      <alignment horizontal="center" wrapText="1"/>
    </xf>
    <xf numFmtId="4" fontId="1" fillId="24" borderId="32" xfId="0" applyNumberFormat="1" applyFont="1" applyFill="1" applyBorder="1" applyAlignment="1">
      <alignment horizontal="center" wrapText="1"/>
    </xf>
    <xf numFmtId="4" fontId="1" fillId="24" borderId="33" xfId="0" applyNumberFormat="1" applyFont="1" applyFill="1" applyBorder="1" applyAlignment="1">
      <alignment horizontal="center" wrapText="1"/>
    </xf>
    <xf numFmtId="4" fontId="1" fillId="24" borderId="34" xfId="0" applyNumberFormat="1" applyFont="1" applyFill="1" applyBorder="1" applyAlignment="1">
      <alignment horizontal="center" wrapText="1"/>
    </xf>
    <xf numFmtId="4" fontId="1" fillId="24" borderId="36" xfId="0" applyNumberFormat="1" applyFont="1" applyFill="1" applyBorder="1" applyAlignment="1">
      <alignment horizontal="center"/>
    </xf>
    <xf numFmtId="4" fontId="1" fillId="24" borderId="35" xfId="0" applyNumberFormat="1" applyFont="1" applyFill="1" applyBorder="1" applyAlignment="1">
      <alignment horizontal="center"/>
    </xf>
    <xf numFmtId="4" fontId="1" fillId="24" borderId="37" xfId="0" applyNumberFormat="1" applyFont="1" applyFill="1" applyBorder="1" applyAlignment="1">
      <alignment horizontal="center"/>
    </xf>
    <xf numFmtId="4" fontId="1" fillId="24" borderId="36" xfId="0" applyNumberFormat="1" applyFont="1" applyFill="1" applyBorder="1" applyAlignment="1">
      <alignment horizontal="center" wrapText="1"/>
    </xf>
    <xf numFmtId="4" fontId="1" fillId="24" borderId="35" xfId="0" applyNumberFormat="1" applyFont="1" applyFill="1" applyBorder="1" applyAlignment="1">
      <alignment horizontal="center" wrapText="1"/>
    </xf>
    <xf numFmtId="4" fontId="1" fillId="24" borderId="37" xfId="0" applyNumberFormat="1" applyFont="1" applyFill="1" applyBorder="1" applyAlignment="1">
      <alignment horizontal="center" wrapText="1"/>
    </xf>
    <xf numFmtId="4" fontId="1" fillId="24" borderId="21" xfId="0" applyNumberFormat="1" applyFont="1" applyFill="1" applyBorder="1" applyAlignment="1">
      <alignment horizontal="center" wrapText="1"/>
    </xf>
    <xf numFmtId="4" fontId="1" fillId="24" borderId="38" xfId="0" applyNumberFormat="1" applyFont="1" applyFill="1" applyBorder="1" applyAlignment="1">
      <alignment horizontal="center" wrapText="1"/>
    </xf>
    <xf numFmtId="4" fontId="1" fillId="24" borderId="15" xfId="0" applyNumberFormat="1" applyFont="1" applyFill="1" applyBorder="1" applyAlignment="1">
      <alignment horizontal="center" wrapText="1"/>
    </xf>
    <xf numFmtId="4" fontId="1" fillId="24" borderId="27" xfId="0" applyNumberFormat="1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center" wrapText="1"/>
    </xf>
    <xf numFmtId="4" fontId="1" fillId="24" borderId="41" xfId="0" applyNumberFormat="1" applyFont="1" applyFill="1" applyBorder="1" applyAlignment="1">
      <alignment horizontal="center" wrapText="1"/>
    </xf>
    <xf numFmtId="4" fontId="1" fillId="24" borderId="23" xfId="0" applyNumberFormat="1" applyFont="1" applyFill="1" applyBorder="1" applyAlignment="1">
      <alignment/>
    </xf>
    <xf numFmtId="4" fontId="1" fillId="24" borderId="29" xfId="0" applyNumberFormat="1" applyFont="1" applyFill="1" applyBorder="1" applyAlignment="1">
      <alignment horizontal="center" wrapText="1"/>
    </xf>
    <xf numFmtId="4" fontId="1" fillId="24" borderId="16" xfId="0" applyNumberFormat="1" applyFont="1" applyFill="1" applyBorder="1" applyAlignment="1">
      <alignment horizontal="center" wrapText="1"/>
    </xf>
    <xf numFmtId="4" fontId="1" fillId="24" borderId="17" xfId="0" applyNumberFormat="1" applyFont="1" applyFill="1" applyBorder="1" applyAlignment="1">
      <alignment horizontal="center" wrapText="1"/>
    </xf>
    <xf numFmtId="4" fontId="1" fillId="24" borderId="73" xfId="0" applyNumberFormat="1" applyFont="1" applyFill="1" applyBorder="1" applyAlignment="1">
      <alignment horizontal="center" wrapText="1"/>
    </xf>
    <xf numFmtId="4" fontId="1" fillId="24" borderId="31" xfId="0" applyNumberFormat="1" applyFont="1" applyFill="1" applyBorder="1" applyAlignment="1">
      <alignment horizontal="center" wrapText="1"/>
    </xf>
    <xf numFmtId="4" fontId="1" fillId="24" borderId="18" xfId="0" applyNumberFormat="1" applyFont="1" applyFill="1" applyBorder="1" applyAlignment="1">
      <alignment horizontal="center" wrapText="1"/>
    </xf>
    <xf numFmtId="4" fontId="1" fillId="24" borderId="43" xfId="0" applyNumberFormat="1" applyFont="1" applyFill="1" applyBorder="1" applyAlignment="1">
      <alignment horizontal="center" wrapText="1"/>
    </xf>
    <xf numFmtId="4" fontId="1" fillId="24" borderId="40" xfId="0" applyNumberFormat="1" applyFont="1" applyFill="1" applyBorder="1" applyAlignment="1">
      <alignment horizontal="center" wrapText="1"/>
    </xf>
    <xf numFmtId="4" fontId="1" fillId="24" borderId="28" xfId="0" applyNumberFormat="1" applyFont="1" applyFill="1" applyBorder="1" applyAlignment="1">
      <alignment horizontal="center" wrapText="1"/>
    </xf>
    <xf numFmtId="4" fontId="1" fillId="24" borderId="19" xfId="0" applyNumberFormat="1" applyFont="1" applyFill="1" applyBorder="1" applyAlignment="1">
      <alignment horizontal="center" wrapText="1"/>
    </xf>
    <xf numFmtId="4" fontId="1" fillId="24" borderId="20" xfId="0" applyNumberFormat="1" applyFont="1" applyFill="1" applyBorder="1" applyAlignment="1">
      <alignment horizontal="center" wrapText="1"/>
    </xf>
    <xf numFmtId="4" fontId="1" fillId="24" borderId="21" xfId="0" applyNumberFormat="1" applyFont="1" applyFill="1" applyBorder="1" applyAlignment="1">
      <alignment horizontal="center"/>
    </xf>
    <xf numFmtId="4" fontId="1" fillId="24" borderId="4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70" xfId="0" applyNumberFormat="1" applyFont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" fontId="1" fillId="24" borderId="68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4" fontId="1" fillId="24" borderId="83" xfId="0" applyNumberFormat="1" applyFont="1" applyFill="1" applyBorder="1" applyAlignment="1">
      <alignment horizontal="center"/>
    </xf>
    <xf numFmtId="4" fontId="16" fillId="24" borderId="76" xfId="0" applyNumberFormat="1" applyFont="1" applyFill="1" applyBorder="1" applyAlignment="1">
      <alignment horizontal="center"/>
    </xf>
    <xf numFmtId="4" fontId="1" fillId="24" borderId="76" xfId="0" applyNumberFormat="1" applyFont="1" applyFill="1" applyBorder="1" applyAlignment="1">
      <alignment horizontal="center"/>
    </xf>
    <xf numFmtId="4" fontId="1" fillId="0" borderId="76" xfId="0" applyNumberFormat="1" applyFont="1" applyFill="1" applyBorder="1" applyAlignment="1">
      <alignment horizontal="center" wrapText="1"/>
    </xf>
    <xf numFmtId="4" fontId="1" fillId="24" borderId="40" xfId="0" applyNumberFormat="1" applyFont="1" applyFill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" fontId="1" fillId="24" borderId="40" xfId="0" applyNumberFormat="1" applyFont="1" applyFill="1" applyBorder="1" applyAlignment="1">
      <alignment horizontal="center"/>
    </xf>
    <xf numFmtId="4" fontId="1" fillId="0" borderId="40" xfId="0" applyNumberFormat="1" applyFont="1" applyBorder="1" applyAlignment="1">
      <alignment horizontal="center" wrapText="1"/>
    </xf>
    <xf numFmtId="4" fontId="3" fillId="4" borderId="81" xfId="0" applyNumberFormat="1" applyFont="1" applyFill="1" applyBorder="1" applyAlignment="1">
      <alignment horizontal="center" wrapText="1"/>
    </xf>
    <xf numFmtId="4" fontId="5" fillId="15" borderId="0" xfId="0" applyNumberFormat="1" applyFont="1" applyFill="1" applyAlignment="1">
      <alignment horizontal="center"/>
    </xf>
    <xf numFmtId="4" fontId="3" fillId="15" borderId="0" xfId="0" applyNumberFormat="1" applyFont="1" applyFill="1" applyAlignment="1">
      <alignment horizontal="center"/>
    </xf>
    <xf numFmtId="4" fontId="3" fillId="24" borderId="52" xfId="0" applyNumberFormat="1" applyFont="1" applyFill="1" applyBorder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4" fontId="3" fillId="24" borderId="0" xfId="0" applyNumberFormat="1" applyFont="1" applyFill="1" applyBorder="1" applyAlignment="1">
      <alignment horizontal="center" wrapText="1"/>
    </xf>
    <xf numFmtId="4" fontId="3" fillId="24" borderId="0" xfId="0" applyNumberFormat="1" applyFont="1" applyFill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82" xfId="0" applyNumberFormat="1" applyFont="1" applyBorder="1" applyAlignment="1">
      <alignment horizontal="center"/>
    </xf>
    <xf numFmtId="4" fontId="3" fillId="0" borderId="83" xfId="0" applyNumberFormat="1" applyFont="1" applyBorder="1" applyAlignment="1">
      <alignment horizontal="center"/>
    </xf>
    <xf numFmtId="4" fontId="3" fillId="0" borderId="8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82" xfId="0" applyNumberFormat="1" applyFont="1" applyBorder="1" applyAlignment="1">
      <alignment horizontal="center" wrapText="1"/>
    </xf>
    <xf numFmtId="4" fontId="3" fillId="0" borderId="52" xfId="0" applyNumberFormat="1" applyFont="1" applyBorder="1" applyAlignment="1">
      <alignment horizontal="center"/>
    </xf>
    <xf numFmtId="4" fontId="1" fillId="24" borderId="68" xfId="0" applyNumberFormat="1" applyFont="1" applyFill="1" applyBorder="1" applyAlignment="1">
      <alignment horizontal="center"/>
    </xf>
    <xf numFmtId="4" fontId="3" fillId="24" borderId="7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3" fillId="0" borderId="70" xfId="0" applyNumberFormat="1" applyFont="1" applyBorder="1" applyAlignment="1">
      <alignment horizontal="center"/>
    </xf>
    <xf numFmtId="4" fontId="3" fillId="24" borderId="82" xfId="0" applyNumberFormat="1" applyFont="1" applyFill="1" applyBorder="1" applyAlignment="1">
      <alignment horizontal="center" wrapText="1"/>
    </xf>
    <xf numFmtId="4" fontId="3" fillId="24" borderId="82" xfId="0" applyNumberFormat="1" applyFont="1" applyFill="1" applyBorder="1" applyAlignment="1">
      <alignment horizontal="center"/>
    </xf>
    <xf numFmtId="4" fontId="3" fillId="24" borderId="52" xfId="0" applyNumberFormat="1" applyFont="1" applyFill="1" applyBorder="1" applyAlignment="1">
      <alignment horizontal="center" wrapText="1"/>
    </xf>
    <xf numFmtId="4" fontId="3" fillId="0" borderId="52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1" fillId="0" borderId="7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2" fillId="0" borderId="52" xfId="0" applyNumberFormat="1" applyFont="1" applyBorder="1" applyAlignment="1">
      <alignment horizontal="center" wrapText="1"/>
    </xf>
    <xf numFmtId="4" fontId="2" fillId="0" borderId="45" xfId="0" applyNumberFormat="1" applyFont="1" applyBorder="1" applyAlignment="1">
      <alignment horizontal="center" wrapText="1"/>
    </xf>
    <xf numFmtId="4" fontId="1" fillId="24" borderId="42" xfId="0" applyNumberFormat="1" applyFont="1" applyFill="1" applyBorder="1" applyAlignment="1">
      <alignment horizontal="center" wrapText="1"/>
    </xf>
    <xf numFmtId="4" fontId="1" fillId="24" borderId="62" xfId="0" applyNumberFormat="1" applyFont="1" applyFill="1" applyBorder="1" applyAlignment="1">
      <alignment horizontal="center" wrapText="1"/>
    </xf>
    <xf numFmtId="4" fontId="3" fillId="4" borderId="8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" fillId="0" borderId="73" xfId="0" applyNumberFormat="1" applyFont="1" applyFill="1" applyBorder="1" applyAlignment="1">
      <alignment horizontal="center" wrapText="1"/>
    </xf>
    <xf numFmtId="4" fontId="1" fillId="24" borderId="72" xfId="0" applyNumberFormat="1" applyFont="1" applyFill="1" applyBorder="1" applyAlignment="1">
      <alignment horizontal="center" wrapText="1"/>
    </xf>
    <xf numFmtId="4" fontId="1" fillId="24" borderId="44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2" fontId="1" fillId="0" borderId="57" xfId="0" applyNumberFormat="1" applyFont="1" applyBorder="1" applyAlignment="1">
      <alignment horizontal="center"/>
    </xf>
    <xf numFmtId="4" fontId="16" fillId="0" borderId="14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 wrapText="1"/>
    </xf>
    <xf numFmtId="4" fontId="1" fillId="0" borderId="68" xfId="0" applyNumberFormat="1" applyFont="1" applyFill="1" applyBorder="1" applyAlignment="1">
      <alignment horizontal="center"/>
    </xf>
    <xf numFmtId="4" fontId="3" fillId="0" borderId="70" xfId="0" applyNumberFormat="1" applyFont="1" applyFill="1" applyBorder="1" applyAlignment="1">
      <alignment horizontal="center"/>
    </xf>
    <xf numFmtId="4" fontId="3" fillId="0" borderId="82" xfId="0" applyNumberFormat="1" applyFont="1" applyFill="1" applyBorder="1" applyAlignment="1">
      <alignment horizontal="center"/>
    </xf>
    <xf numFmtId="4" fontId="1" fillId="0" borderId="73" xfId="0" applyNumberFormat="1" applyFont="1" applyFill="1" applyBorder="1" applyAlignment="1">
      <alignment horizontal="center"/>
    </xf>
    <xf numFmtId="4" fontId="1" fillId="0" borderId="74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" fontId="3" fillId="0" borderId="82" xfId="0" applyNumberFormat="1" applyFont="1" applyFill="1" applyBorder="1" applyAlignment="1">
      <alignment horizontal="center" wrapText="1"/>
    </xf>
    <xf numFmtId="2" fontId="1" fillId="0" borderId="6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/>
    </xf>
    <xf numFmtId="4" fontId="1" fillId="0" borderId="84" xfId="0" applyNumberFormat="1" applyFont="1" applyFill="1" applyBorder="1" applyAlignment="1">
      <alignment horizontal="center" wrapText="1"/>
    </xf>
    <xf numFmtId="4" fontId="1" fillId="0" borderId="44" xfId="0" applyNumberFormat="1" applyFont="1" applyFill="1" applyBorder="1" applyAlignment="1">
      <alignment horizontal="center"/>
    </xf>
    <xf numFmtId="4" fontId="16" fillId="0" borderId="41" xfId="0" applyNumberFormat="1" applyFont="1" applyFill="1" applyBorder="1" applyAlignment="1">
      <alignment horizontal="center"/>
    </xf>
    <xf numFmtId="4" fontId="16" fillId="0" borderId="76" xfId="0" applyNumberFormat="1" applyFont="1" applyFill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wrapText="1"/>
    </xf>
    <xf numFmtId="4" fontId="16" fillId="0" borderId="53" xfId="0" applyNumberFormat="1" applyFont="1" applyFill="1" applyBorder="1" applyAlignment="1">
      <alignment horizontal="center" wrapText="1"/>
    </xf>
    <xf numFmtId="4" fontId="16" fillId="0" borderId="55" xfId="0" applyNumberFormat="1" applyFont="1" applyFill="1" applyBorder="1" applyAlignment="1">
      <alignment horizontal="center" wrapText="1"/>
    </xf>
    <xf numFmtId="4" fontId="16" fillId="0" borderId="36" xfId="0" applyNumberFormat="1" applyFont="1" applyFill="1" applyBorder="1" applyAlignment="1">
      <alignment horizontal="center" wrapText="1"/>
    </xf>
    <xf numFmtId="4" fontId="16" fillId="0" borderId="35" xfId="0" applyNumberFormat="1" applyFont="1" applyFill="1" applyBorder="1" applyAlignment="1">
      <alignment horizontal="center" wrapText="1"/>
    </xf>
    <xf numFmtId="4" fontId="16" fillId="0" borderId="37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0" borderId="34" xfId="0" applyNumberFormat="1" applyFont="1" applyFill="1" applyBorder="1" applyAlignment="1">
      <alignment horizontal="center" wrapText="1"/>
    </xf>
    <xf numFmtId="4" fontId="15" fillId="0" borderId="0" xfId="45" applyNumberFormat="1" applyFont="1" applyFill="1" applyBorder="1" applyAlignment="1">
      <alignment horizontal="center" vertical="center"/>
      <protection/>
    </xf>
    <xf numFmtId="4" fontId="1" fillId="0" borderId="76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wrapText="1"/>
    </xf>
    <xf numFmtId="4" fontId="9" fillId="0" borderId="23" xfId="0" applyNumberFormat="1" applyFont="1" applyFill="1" applyBorder="1" applyAlignment="1">
      <alignment horizontal="center" wrapText="1"/>
    </xf>
    <xf numFmtId="4" fontId="9" fillId="0" borderId="41" xfId="0" applyNumberFormat="1" applyFont="1" applyFill="1" applyBorder="1" applyAlignment="1">
      <alignment horizontal="center" wrapText="1"/>
    </xf>
    <xf numFmtId="2" fontId="9" fillId="0" borderId="45" xfId="0" applyNumberFormat="1" applyFont="1" applyFill="1" applyBorder="1" applyAlignment="1">
      <alignment horizontal="center" wrapText="1"/>
    </xf>
    <xf numFmtId="4" fontId="47" fillId="0" borderId="0" xfId="45" applyNumberFormat="1" applyFont="1" applyFill="1" applyBorder="1" applyAlignment="1">
      <alignment horizontal="right" vertical="center"/>
      <protection/>
    </xf>
    <xf numFmtId="4" fontId="10" fillId="0" borderId="52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>
      <alignment horizontal="center" wrapText="1"/>
    </xf>
    <xf numFmtId="4" fontId="9" fillId="0" borderId="47" xfId="0" applyNumberFormat="1" applyFont="1" applyFill="1" applyBorder="1" applyAlignment="1">
      <alignment horizontal="center" wrapText="1"/>
    </xf>
    <xf numFmtId="2" fontId="9" fillId="0" borderId="61" xfId="0" applyNumberFormat="1" applyFont="1" applyFill="1" applyBorder="1" applyAlignment="1">
      <alignment horizontal="center" wrapText="1"/>
    </xf>
    <xf numFmtId="4" fontId="9" fillId="0" borderId="0" xfId="0" applyNumberFormat="1" applyFont="1" applyFill="1" applyAlignment="1">
      <alignment/>
    </xf>
    <xf numFmtId="4" fontId="9" fillId="0" borderId="13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 wrapText="1"/>
    </xf>
    <xf numFmtId="4" fontId="9" fillId="0" borderId="40" xfId="0" applyNumberFormat="1" applyFont="1" applyFill="1" applyBorder="1" applyAlignment="1">
      <alignment horizontal="center" wrapText="1"/>
    </xf>
    <xf numFmtId="2" fontId="11" fillId="0" borderId="61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4" fontId="9" fillId="0" borderId="16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73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0" borderId="74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2" fontId="11" fillId="0" borderId="42" xfId="0" applyNumberFormat="1" applyFont="1" applyFill="1" applyBorder="1" applyAlignment="1">
      <alignment horizontal="center"/>
    </xf>
    <xf numFmtId="2" fontId="11" fillId="0" borderId="62" xfId="0" applyNumberFormat="1" applyFont="1" applyFill="1" applyBorder="1" applyAlignment="1">
      <alignment horizontal="center"/>
    </xf>
    <xf numFmtId="4" fontId="11" fillId="0" borderId="76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 horizontal="center"/>
    </xf>
    <xf numFmtId="4" fontId="9" fillId="0" borderId="54" xfId="0" applyNumberFormat="1" applyFont="1" applyFill="1" applyBorder="1" applyAlignment="1">
      <alignment horizontal="center" wrapText="1"/>
    </xf>
    <xf numFmtId="4" fontId="9" fillId="0" borderId="53" xfId="0" applyNumberFormat="1" applyFont="1" applyFill="1" applyBorder="1" applyAlignment="1">
      <alignment horizontal="center" wrapText="1"/>
    </xf>
    <xf numFmtId="4" fontId="9" fillId="0" borderId="55" xfId="0" applyNumberFormat="1" applyFont="1" applyFill="1" applyBorder="1" applyAlignment="1">
      <alignment horizontal="center" wrapText="1"/>
    </xf>
    <xf numFmtId="4" fontId="9" fillId="0" borderId="28" xfId="0" applyNumberFormat="1" applyFont="1" applyFill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center" wrapText="1"/>
    </xf>
    <xf numFmtId="4" fontId="9" fillId="0" borderId="30" xfId="0" applyNumberFormat="1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center" wrapText="1"/>
    </xf>
    <xf numFmtId="4" fontId="9" fillId="0" borderId="35" xfId="0" applyNumberFormat="1" applyFont="1" applyFill="1" applyBorder="1" applyAlignment="1">
      <alignment horizontal="center"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 wrapText="1"/>
    </xf>
    <xf numFmtId="4" fontId="48" fillId="0" borderId="0" xfId="0" applyNumberFormat="1" applyFont="1" applyFill="1" applyBorder="1" applyAlignment="1">
      <alignment horizontal="center" wrapText="1"/>
    </xf>
    <xf numFmtId="4" fontId="48" fillId="0" borderId="52" xfId="0" applyNumberFormat="1" applyFont="1" applyFill="1" applyBorder="1" applyAlignment="1">
      <alignment horizontal="center" wrapText="1"/>
    </xf>
    <xf numFmtId="0" fontId="3" fillId="4" borderId="79" xfId="0" applyFont="1" applyFill="1" applyBorder="1" applyAlignment="1">
      <alignment horizontal="center" wrapText="1"/>
    </xf>
    <xf numFmtId="4" fontId="1" fillId="0" borderId="72" xfId="0" applyNumberFormat="1" applyFont="1" applyFill="1" applyBorder="1" applyAlignment="1">
      <alignment horizontal="center" wrapText="1"/>
    </xf>
    <xf numFmtId="0" fontId="2" fillId="4" borderId="80" xfId="0" applyFont="1" applyFill="1" applyBorder="1" applyAlignment="1">
      <alignment horizontal="center" wrapText="1"/>
    </xf>
    <xf numFmtId="4" fontId="2" fillId="26" borderId="18" xfId="0" applyNumberFormat="1" applyFont="1" applyFill="1" applyBorder="1" applyAlignment="1">
      <alignment/>
    </xf>
    <xf numFmtId="4" fontId="2" fillId="26" borderId="19" xfId="0" applyNumberFormat="1" applyFont="1" applyFill="1" applyBorder="1" applyAlignment="1">
      <alignment/>
    </xf>
    <xf numFmtId="4" fontId="2" fillId="26" borderId="20" xfId="0" applyNumberFormat="1" applyFont="1" applyFill="1" applyBorder="1" applyAlignment="1">
      <alignment/>
    </xf>
    <xf numFmtId="4" fontId="2" fillId="26" borderId="52" xfId="0" applyNumberFormat="1" applyFont="1" applyFill="1" applyBorder="1" applyAlignment="1">
      <alignment/>
    </xf>
    <xf numFmtId="4" fontId="2" fillId="26" borderId="62" xfId="0" applyNumberFormat="1" applyFont="1" applyFill="1" applyBorder="1" applyAlignment="1">
      <alignment horizontal="center"/>
    </xf>
    <xf numFmtId="4" fontId="2" fillId="26" borderId="47" xfId="0" applyNumberFormat="1" applyFont="1" applyFill="1" applyBorder="1" applyAlignment="1">
      <alignment horizontal="center"/>
    </xf>
    <xf numFmtId="4" fontId="1" fillId="24" borderId="16" xfId="0" applyNumberFormat="1" applyFont="1" applyFill="1" applyBorder="1" applyAlignment="1">
      <alignment wrapText="1"/>
    </xf>
    <xf numFmtId="4" fontId="1" fillId="24" borderId="17" xfId="0" applyNumberFormat="1" applyFont="1" applyFill="1" applyBorder="1" applyAlignment="1">
      <alignment wrapText="1"/>
    </xf>
    <xf numFmtId="4" fontId="9" fillId="0" borderId="56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/>
    </xf>
    <xf numFmtId="4" fontId="2" fillId="26" borderId="11" xfId="0" applyNumberFormat="1" applyFont="1" applyFill="1" applyBorder="1" applyAlignment="1">
      <alignment/>
    </xf>
    <xf numFmtId="4" fontId="2" fillId="26" borderId="12" xfId="0" applyNumberFormat="1" applyFont="1" applyFill="1" applyBorder="1" applyAlignment="1">
      <alignment/>
    </xf>
    <xf numFmtId="4" fontId="2" fillId="26" borderId="81" xfId="0" applyNumberFormat="1" applyFont="1" applyFill="1" applyBorder="1" applyAlignment="1">
      <alignment/>
    </xf>
    <xf numFmtId="2" fontId="2" fillId="26" borderId="58" xfId="0" applyNumberFormat="1" applyFont="1" applyFill="1" applyBorder="1" applyAlignment="1">
      <alignment horizontal="center"/>
    </xf>
    <xf numFmtId="4" fontId="2" fillId="26" borderId="58" xfId="0" applyNumberFormat="1" applyFont="1" applyFill="1" applyBorder="1" applyAlignment="1">
      <alignment horizontal="center"/>
    </xf>
    <xf numFmtId="2" fontId="2" fillId="26" borderId="81" xfId="0" applyNumberFormat="1" applyFont="1" applyFill="1" applyBorder="1" applyAlignment="1">
      <alignment horizontal="center"/>
    </xf>
    <xf numFmtId="4" fontId="0" fillId="0" borderId="76" xfId="0" applyNumberFormat="1" applyFill="1" applyBorder="1" applyAlignment="1">
      <alignment/>
    </xf>
    <xf numFmtId="2" fontId="0" fillId="0" borderId="62" xfId="0" applyNumberFormat="1" applyFill="1" applyBorder="1" applyAlignment="1">
      <alignment horizontal="center"/>
    </xf>
    <xf numFmtId="4" fontId="0" fillId="0" borderId="52" xfId="0" applyNumberFormat="1" applyFill="1" applyBorder="1" applyAlignment="1">
      <alignment/>
    </xf>
    <xf numFmtId="4" fontId="1" fillId="24" borderId="66" xfId="0" applyNumberFormat="1" applyFont="1" applyFill="1" applyBorder="1" applyAlignment="1">
      <alignment horizontal="center" wrapText="1"/>
    </xf>
    <xf numFmtId="4" fontId="1" fillId="24" borderId="74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9" fillId="0" borderId="45" xfId="0" applyNumberFormat="1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" fontId="1" fillId="0" borderId="45" xfId="0" applyNumberFormat="1" applyFont="1" applyBorder="1" applyAlignment="1">
      <alignment horizontal="center" wrapText="1"/>
    </xf>
    <xf numFmtId="4" fontId="1" fillId="0" borderId="42" xfId="0" applyNumberFormat="1" applyFont="1" applyBorder="1" applyAlignment="1">
      <alignment horizontal="center" wrapText="1"/>
    </xf>
    <xf numFmtId="4" fontId="1" fillId="0" borderId="56" xfId="0" applyNumberFormat="1" applyFont="1" applyFill="1" applyBorder="1" applyAlignment="1">
      <alignment horizontal="center"/>
    </xf>
    <xf numFmtId="2" fontId="0" fillId="0" borderId="6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85" xfId="0" applyNumberForma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4" fontId="11" fillId="24" borderId="48" xfId="0" applyNumberFormat="1" applyFont="1" applyFill="1" applyBorder="1" applyAlignment="1">
      <alignment horizontal="center"/>
    </xf>
    <xf numFmtId="4" fontId="0" fillId="24" borderId="35" xfId="0" applyNumberFormat="1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" fontId="22" fillId="0" borderId="0" xfId="0" applyNumberFormat="1" applyFont="1" applyAlignment="1">
      <alignment horizontal="center" readingOrder="1"/>
    </xf>
    <xf numFmtId="4" fontId="7" fillId="0" borderId="0" xfId="0" applyNumberFormat="1" applyFont="1" applyAlignment="1">
      <alignment wrapText="1"/>
    </xf>
    <xf numFmtId="4" fontId="19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9" fillId="0" borderId="0" xfId="0" applyFont="1" applyAlignment="1">
      <alignment/>
    </xf>
    <xf numFmtId="0" fontId="3" fillId="4" borderId="79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4" fontId="3" fillId="4" borderId="8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4" fontId="3" fillId="4" borderId="58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11" fillId="0" borderId="0" xfId="0" applyNumberFormat="1" applyFont="1" applyFill="1" applyBorder="1" applyAlignment="1">
      <alignment/>
    </xf>
    <xf numFmtId="4" fontId="1" fillId="0" borderId="61" xfId="0" applyNumberFormat="1" applyFont="1" applyBorder="1" applyAlignment="1">
      <alignment horizontal="center"/>
    </xf>
    <xf numFmtId="4" fontId="1" fillId="0" borderId="61" xfId="0" applyNumberFormat="1" applyFont="1" applyFill="1" applyBorder="1" applyAlignment="1">
      <alignment horizontal="center"/>
    </xf>
    <xf numFmtId="4" fontId="1" fillId="24" borderId="45" xfId="0" applyNumberFormat="1" applyFont="1" applyFill="1" applyBorder="1" applyAlignment="1">
      <alignment horizontal="center"/>
    </xf>
    <xf numFmtId="4" fontId="9" fillId="0" borderId="61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4" borderId="13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 wrapText="1"/>
    </xf>
    <xf numFmtId="4" fontId="1" fillId="0" borderId="67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wrapText="1"/>
    </xf>
    <xf numFmtId="0" fontId="9" fillId="0" borderId="85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4" fontId="11" fillId="24" borderId="25" xfId="0" applyNumberFormat="1" applyFont="1" applyFill="1" applyBorder="1" applyAlignment="1">
      <alignment horizontal="center"/>
    </xf>
    <xf numFmtId="0" fontId="11" fillId="24" borderId="25" xfId="0" applyFont="1" applyFill="1" applyBorder="1" applyAlignment="1">
      <alignment horizontal="center"/>
    </xf>
    <xf numFmtId="4" fontId="11" fillId="24" borderId="78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1" fillId="0" borderId="83" xfId="0" applyNumberFormat="1" applyFont="1" applyFill="1" applyBorder="1" applyAlignment="1">
      <alignment horizontal="center"/>
    </xf>
    <xf numFmtId="4" fontId="0" fillId="0" borderId="76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wrapText="1"/>
    </xf>
    <xf numFmtId="2" fontId="0" fillId="0" borderId="62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8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5" fillId="24" borderId="15" xfId="0" applyNumberFormat="1" applyFont="1" applyFill="1" applyBorder="1" applyAlignment="1">
      <alignment horizontal="center" vertical="center"/>
    </xf>
    <xf numFmtId="4" fontId="25" fillId="0" borderId="27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center"/>
    </xf>
    <xf numFmtId="4" fontId="25" fillId="0" borderId="35" xfId="0" applyNumberFormat="1" applyFont="1" applyBorder="1" applyAlignment="1">
      <alignment horizontal="center" vertical="center"/>
    </xf>
    <xf numFmtId="4" fontId="25" fillId="24" borderId="35" xfId="0" applyNumberFormat="1" applyFont="1" applyFill="1" applyBorder="1" applyAlignment="1">
      <alignment horizontal="center" vertical="center"/>
    </xf>
    <xf numFmtId="4" fontId="25" fillId="0" borderId="38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 wrapText="1"/>
    </xf>
    <xf numFmtId="0" fontId="3" fillId="4" borderId="8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1" fillId="24" borderId="28" xfId="0" applyNumberFormat="1" applyFont="1" applyFill="1" applyBorder="1" applyAlignment="1">
      <alignment horizontal="center"/>
    </xf>
    <xf numFmtId="0" fontId="11" fillId="24" borderId="30" xfId="0" applyFont="1" applyFill="1" applyBorder="1" applyAlignment="1">
      <alignment horizontal="center"/>
    </xf>
    <xf numFmtId="0" fontId="24" fillId="0" borderId="49" xfId="0" applyFont="1" applyBorder="1" applyAlignment="1">
      <alignment horizontal="center" vertical="center" wrapText="1"/>
    </xf>
    <xf numFmtId="4" fontId="24" fillId="0" borderId="25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24" borderId="25" xfId="0" applyNumberFormat="1" applyFont="1" applyFill="1" applyBorder="1" applyAlignment="1">
      <alignment horizontal="center" vertical="center"/>
    </xf>
    <xf numFmtId="4" fontId="25" fillId="0" borderId="39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4" fontId="26" fillId="4" borderId="11" xfId="0" applyNumberFormat="1" applyFont="1" applyFill="1" applyBorder="1" applyAlignment="1">
      <alignment horizontal="center" vertical="center"/>
    </xf>
    <xf numFmtId="4" fontId="27" fillId="4" borderId="11" xfId="0" applyNumberFormat="1" applyFont="1" applyFill="1" applyBorder="1" applyAlignment="1">
      <alignment horizontal="center" vertical="center"/>
    </xf>
    <xf numFmtId="4" fontId="26" fillId="4" borderId="11" xfId="0" applyNumberFormat="1" applyFont="1" applyFill="1" applyBorder="1" applyAlignment="1">
      <alignment horizontal="center" vertical="center"/>
    </xf>
    <xf numFmtId="4" fontId="26" fillId="4" borderId="65" xfId="0" applyNumberFormat="1" applyFont="1" applyFill="1" applyBorder="1" applyAlignment="1">
      <alignment horizontal="center" vertical="center"/>
    </xf>
    <xf numFmtId="4" fontId="26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1" fillId="0" borderId="5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4" fontId="3" fillId="24" borderId="83" xfId="0" applyNumberFormat="1" applyFont="1" applyFill="1" applyBorder="1" applyAlignment="1">
      <alignment horizontal="center"/>
    </xf>
    <xf numFmtId="4" fontId="1" fillId="0" borderId="66" xfId="0" applyNumberFormat="1" applyFont="1" applyBorder="1" applyAlignment="1">
      <alignment horizontal="center" wrapText="1"/>
    </xf>
    <xf numFmtId="4" fontId="2" fillId="24" borderId="35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4" borderId="80" xfId="0" applyFont="1" applyFill="1" applyBorder="1" applyAlignment="1">
      <alignment horizontal="center" wrapText="1"/>
    </xf>
    <xf numFmtId="0" fontId="2" fillId="4" borderId="85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" fontId="1" fillId="24" borderId="38" xfId="0" applyNumberFormat="1" applyFont="1" applyFill="1" applyBorder="1" applyAlignment="1">
      <alignment horizontal="center"/>
    </xf>
    <xf numFmtId="4" fontId="9" fillId="0" borderId="61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2" fontId="0" fillId="0" borderId="85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2" fontId="0" fillId="0" borderId="58" xfId="0" applyNumberFormat="1" applyFont="1" applyFill="1" applyBorder="1" applyAlignment="1">
      <alignment horizontal="center"/>
    </xf>
    <xf numFmtId="4" fontId="10" fillId="0" borderId="83" xfId="0" applyNumberFormat="1" applyFont="1" applyFill="1" applyBorder="1" applyAlignment="1">
      <alignment horizontal="center" wrapText="1"/>
    </xf>
    <xf numFmtId="4" fontId="1" fillId="0" borderId="57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9" fillId="0" borderId="67" xfId="0" applyNumberFormat="1" applyFont="1" applyFill="1" applyBorder="1" applyAlignment="1">
      <alignment horizontal="center"/>
    </xf>
    <xf numFmtId="4" fontId="9" fillId="0" borderId="47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25" borderId="52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4" borderId="35" xfId="0" applyFont="1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64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/>
    </xf>
    <xf numFmtId="4" fontId="0" fillId="24" borderId="35" xfId="0" applyNumberFormat="1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4" fontId="1" fillId="0" borderId="6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24" borderId="32" xfId="0" applyNumberFormat="1" applyFont="1" applyFill="1" applyBorder="1" applyAlignment="1">
      <alignment horizontal="center"/>
    </xf>
    <xf numFmtId="4" fontId="1" fillId="24" borderId="33" xfId="0" applyNumberFormat="1" applyFont="1" applyFill="1" applyBorder="1" applyAlignment="1">
      <alignment horizontal="center"/>
    </xf>
    <xf numFmtId="4" fontId="1" fillId="24" borderId="34" xfId="0" applyNumberFormat="1" applyFont="1" applyFill="1" applyBorder="1" applyAlignment="1">
      <alignment horizontal="center"/>
    </xf>
    <xf numFmtId="4" fontId="1" fillId="24" borderId="51" xfId="0" applyNumberFormat="1" applyFont="1" applyFill="1" applyBorder="1" applyAlignment="1">
      <alignment horizontal="center" wrapText="1"/>
    </xf>
    <xf numFmtId="4" fontId="1" fillId="0" borderId="51" xfId="0" applyNumberFormat="1" applyFont="1" applyFill="1" applyBorder="1" applyAlignment="1">
      <alignment horizontal="center"/>
    </xf>
    <xf numFmtId="4" fontId="3" fillId="4" borderId="79" xfId="0" applyNumberFormat="1" applyFont="1" applyFill="1" applyBorder="1" applyAlignment="1">
      <alignment horizontal="center" vertical="center"/>
    </xf>
    <xf numFmtId="4" fontId="3" fillId="4" borderId="65" xfId="0" applyNumberFormat="1" applyFont="1" applyFill="1" applyBorder="1" applyAlignment="1">
      <alignment horizontal="center" vertical="center"/>
    </xf>
    <xf numFmtId="4" fontId="0" fillId="24" borderId="48" xfId="0" applyNumberFormat="1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wrapText="1"/>
    </xf>
    <xf numFmtId="0" fontId="1" fillId="0" borderId="85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wrapText="1"/>
    </xf>
    <xf numFmtId="4" fontId="0" fillId="24" borderId="87" xfId="0" applyNumberFormat="1" applyFont="1" applyFill="1" applyBorder="1" applyAlignment="1">
      <alignment horizontal="center" wrapText="1"/>
    </xf>
    <xf numFmtId="4" fontId="0" fillId="24" borderId="50" xfId="0" applyNumberFormat="1" applyFont="1" applyFill="1" applyBorder="1" applyAlignment="1">
      <alignment horizontal="center" wrapText="1"/>
    </xf>
    <xf numFmtId="4" fontId="0" fillId="24" borderId="67" xfId="0" applyNumberFormat="1" applyFont="1" applyFill="1" applyBorder="1" applyAlignment="1">
      <alignment horizontal="center" wrapText="1"/>
    </xf>
    <xf numFmtId="4" fontId="0" fillId="24" borderId="47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0" fontId="2" fillId="26" borderId="6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/>
    </xf>
    <xf numFmtId="4" fontId="0" fillId="24" borderId="87" xfId="0" applyNumberFormat="1" applyFont="1" applyFill="1" applyBorder="1" applyAlignment="1">
      <alignment horizontal="center"/>
    </xf>
    <xf numFmtId="4" fontId="0" fillId="24" borderId="50" xfId="0" applyNumberFormat="1" applyFont="1" applyFill="1" applyBorder="1" applyAlignment="1">
      <alignment horizontal="center"/>
    </xf>
    <xf numFmtId="4" fontId="1" fillId="24" borderId="45" xfId="0" applyNumberFormat="1" applyFont="1" applyFill="1" applyBorder="1" applyAlignment="1">
      <alignment horizontal="center" wrapText="1"/>
    </xf>
    <xf numFmtId="4" fontId="9" fillId="0" borderId="32" xfId="0" applyNumberFormat="1" applyFont="1" applyFill="1" applyBorder="1" applyAlignment="1">
      <alignment horizontal="center" wrapText="1"/>
    </xf>
    <xf numFmtId="4" fontId="9" fillId="0" borderId="33" xfId="0" applyNumberFormat="1" applyFont="1" applyFill="1" applyBorder="1" applyAlignment="1">
      <alignment horizontal="center" wrapText="1"/>
    </xf>
    <xf numFmtId="4" fontId="9" fillId="0" borderId="3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Alignment="1">
      <alignment horizontal="left"/>
    </xf>
    <xf numFmtId="2" fontId="0" fillId="0" borderId="57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2" fontId="0" fillId="0" borderId="47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3" fillId="0" borderId="61" xfId="0" applyNumberFormat="1" applyFont="1" applyBorder="1" applyAlignment="1">
      <alignment horizontal="center"/>
    </xf>
    <xf numFmtId="4" fontId="3" fillId="0" borderId="83" xfId="0" applyNumberFormat="1" applyFont="1" applyFill="1" applyBorder="1" applyAlignment="1">
      <alignment horizontal="center"/>
    </xf>
    <xf numFmtId="0" fontId="2" fillId="26" borderId="79" xfId="0" applyFont="1" applyFill="1" applyBorder="1" applyAlignment="1">
      <alignment horizontal="center"/>
    </xf>
    <xf numFmtId="0" fontId="2" fillId="26" borderId="88" xfId="0" applyFont="1" applyFill="1" applyBorder="1" applyAlignment="1">
      <alignment horizontal="center"/>
    </xf>
    <xf numFmtId="4" fontId="2" fillId="26" borderId="10" xfId="0" applyNumberFormat="1" applyFont="1" applyFill="1" applyBorder="1" applyAlignment="1">
      <alignment horizontal="center"/>
    </xf>
    <xf numFmtId="0" fontId="2" fillId="26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5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8" fillId="4" borderId="79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2" fillId="4" borderId="79" xfId="0" applyFont="1" applyFill="1" applyBorder="1" applyAlignment="1">
      <alignment horizontal="center" wrapText="1"/>
    </xf>
    <xf numFmtId="0" fontId="2" fillId="4" borderId="81" xfId="0" applyFont="1" applyFill="1" applyBorder="1" applyAlignment="1">
      <alignment horizontal="center" wrapText="1"/>
    </xf>
    <xf numFmtId="0" fontId="2" fillId="4" borderId="85" xfId="0" applyFont="1" applyFill="1" applyBorder="1" applyAlignment="1">
      <alignment horizontal="center" wrapText="1"/>
    </xf>
    <xf numFmtId="0" fontId="2" fillId="4" borderId="62" xfId="0" applyFont="1" applyFill="1" applyBorder="1" applyAlignment="1">
      <alignment horizontal="center" wrapText="1"/>
    </xf>
    <xf numFmtId="0" fontId="1" fillId="0" borderId="85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3" fillId="0" borderId="62" xfId="0" applyNumberFormat="1" applyFont="1" applyFill="1" applyBorder="1" applyAlignment="1">
      <alignment horizontal="center" wrapText="1"/>
    </xf>
    <xf numFmtId="4" fontId="0" fillId="24" borderId="7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2" fillId="0" borderId="82" xfId="0" applyNumberFormat="1" applyFont="1" applyFill="1" applyBorder="1" applyAlignment="1">
      <alignment horizontal="center"/>
    </xf>
    <xf numFmtId="4" fontId="1" fillId="24" borderId="54" xfId="0" applyNumberFormat="1" applyFont="1" applyFill="1" applyBorder="1" applyAlignment="1">
      <alignment horizontal="center"/>
    </xf>
    <xf numFmtId="4" fontId="1" fillId="24" borderId="55" xfId="0" applyNumberFormat="1" applyFont="1" applyFill="1" applyBorder="1" applyAlignment="1">
      <alignment horizontal="center"/>
    </xf>
    <xf numFmtId="0" fontId="0" fillId="0" borderId="52" xfId="0" applyFill="1" applyBorder="1" applyAlignment="1">
      <alignment horizontal="center" wrapText="1"/>
    </xf>
    <xf numFmtId="4" fontId="1" fillId="24" borderId="48" xfId="0" applyNumberFormat="1" applyFont="1" applyFill="1" applyBorder="1" applyAlignment="1">
      <alignment horizontal="center"/>
    </xf>
    <xf numFmtId="4" fontId="1" fillId="24" borderId="28" xfId="0" applyNumberFormat="1" applyFont="1" applyFill="1" applyBorder="1" applyAlignment="1">
      <alignment horizontal="center"/>
    </xf>
    <xf numFmtId="4" fontId="1" fillId="24" borderId="29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4" fontId="2" fillId="4" borderId="65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4" fontId="1" fillId="24" borderId="42" xfId="0" applyNumberFormat="1" applyFont="1" applyFill="1" applyBorder="1" applyAlignment="1">
      <alignment horizontal="center"/>
    </xf>
    <xf numFmtId="4" fontId="16" fillId="24" borderId="62" xfId="0" applyNumberFormat="1" applyFont="1" applyFill="1" applyBorder="1" applyAlignment="1">
      <alignment horizontal="center" wrapText="1"/>
    </xf>
    <xf numFmtId="4" fontId="16" fillId="24" borderId="85" xfId="0" applyNumberFormat="1" applyFont="1" applyFill="1" applyBorder="1" applyAlignment="1">
      <alignment horizontal="center" wrapText="1"/>
    </xf>
    <xf numFmtId="4" fontId="16" fillId="24" borderId="61" xfId="0" applyNumberFormat="1" applyFont="1" applyFill="1" applyBorder="1" applyAlignment="1">
      <alignment horizontal="center" wrapText="1"/>
    </xf>
    <xf numFmtId="4" fontId="3" fillId="0" borderId="83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0" fontId="0" fillId="17" borderId="52" xfId="0" applyFill="1" applyBorder="1" applyAlignment="1">
      <alignment horizontal="center"/>
    </xf>
    <xf numFmtId="0" fontId="3" fillId="4" borderId="85" xfId="0" applyFont="1" applyFill="1" applyBorder="1" applyAlignment="1">
      <alignment horizontal="center" wrapText="1"/>
    </xf>
    <xf numFmtId="0" fontId="3" fillId="4" borderId="62" xfId="0" applyFont="1" applyFill="1" applyBorder="1" applyAlignment="1">
      <alignment horizontal="center" wrapText="1"/>
    </xf>
    <xf numFmtId="4" fontId="3" fillId="0" borderId="85" xfId="0" applyNumberFormat="1" applyFont="1" applyFill="1" applyBorder="1" applyAlignment="1">
      <alignment horizontal="center" wrapText="1"/>
    </xf>
    <xf numFmtId="4" fontId="3" fillId="0" borderId="61" xfId="0" applyNumberFormat="1" applyFont="1" applyFill="1" applyBorder="1" applyAlignment="1">
      <alignment horizontal="center" wrapText="1"/>
    </xf>
    <xf numFmtId="0" fontId="3" fillId="4" borderId="78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wrapText="1"/>
    </xf>
    <xf numFmtId="4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Font="1" applyAlignment="1">
      <alignment/>
    </xf>
    <xf numFmtId="0" fontId="1" fillId="24" borderId="50" xfId="0" applyFont="1" applyFill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4" fontId="1" fillId="24" borderId="0" xfId="0" applyNumberFormat="1" applyFont="1" applyFill="1" applyAlignment="1">
      <alignment/>
    </xf>
    <xf numFmtId="4" fontId="9" fillId="0" borderId="29" xfId="0" applyNumberFormat="1" applyFont="1" applyFill="1" applyBorder="1" applyAlignment="1">
      <alignment horizontal="center"/>
    </xf>
    <xf numFmtId="4" fontId="1" fillId="24" borderId="72" xfId="0" applyNumberFormat="1" applyFont="1" applyFill="1" applyBorder="1" applyAlignment="1">
      <alignment horizontal="center"/>
    </xf>
    <xf numFmtId="4" fontId="1" fillId="24" borderId="31" xfId="0" applyNumberFormat="1" applyFont="1" applyFill="1" applyBorder="1" applyAlignment="1">
      <alignment horizontal="center"/>
    </xf>
    <xf numFmtId="4" fontId="1" fillId="24" borderId="54" xfId="0" applyNumberFormat="1" applyFont="1" applyFill="1" applyBorder="1" applyAlignment="1">
      <alignment horizontal="center" wrapText="1"/>
    </xf>
    <xf numFmtId="4" fontId="1" fillId="24" borderId="53" xfId="0" applyNumberFormat="1" applyFont="1" applyFill="1" applyBorder="1" applyAlignment="1">
      <alignment horizontal="center" wrapText="1"/>
    </xf>
    <xf numFmtId="4" fontId="1" fillId="24" borderId="84" xfId="0" applyNumberFormat="1" applyFont="1" applyFill="1" applyBorder="1" applyAlignment="1">
      <alignment horizontal="center" wrapText="1"/>
    </xf>
    <xf numFmtId="4" fontId="9" fillId="0" borderId="28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4" fontId="1" fillId="24" borderId="50" xfId="0" applyNumberFormat="1" applyFont="1" applyFill="1" applyBorder="1" applyAlignment="1">
      <alignment horizontal="center" wrapText="1"/>
    </xf>
    <xf numFmtId="4" fontId="1" fillId="24" borderId="47" xfId="0" applyNumberFormat="1" applyFont="1" applyFill="1" applyBorder="1" applyAlignment="1">
      <alignment horizontal="center" wrapText="1"/>
    </xf>
    <xf numFmtId="4" fontId="1" fillId="24" borderId="49" xfId="0" applyNumberFormat="1" applyFont="1" applyFill="1" applyBorder="1" applyAlignment="1">
      <alignment horizontal="center"/>
    </xf>
    <xf numFmtId="2" fontId="1" fillId="24" borderId="61" xfId="0" applyNumberFormat="1" applyFont="1" applyFill="1" applyBorder="1" applyAlignment="1">
      <alignment horizontal="center" wrapText="1"/>
    </xf>
    <xf numFmtId="2" fontId="1" fillId="24" borderId="45" xfId="0" applyNumberFormat="1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4" fontId="2" fillId="0" borderId="8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16" fillId="0" borderId="85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" fontId="16" fillId="24" borderId="87" xfId="0" applyNumberFormat="1" applyFont="1" applyFill="1" applyBorder="1" applyAlignment="1">
      <alignment horizontal="center" wrapText="1"/>
    </xf>
    <xf numFmtId="4" fontId="16" fillId="24" borderId="50" xfId="0" applyNumberFormat="1" applyFont="1" applyFill="1" applyBorder="1" applyAlignment="1">
      <alignment horizontal="center" wrapText="1"/>
    </xf>
    <xf numFmtId="4" fontId="16" fillId="24" borderId="45" xfId="0" applyNumberFormat="1" applyFont="1" applyFill="1" applyBorder="1" applyAlignment="1">
      <alignment horizontal="center" wrapText="1"/>
    </xf>
    <xf numFmtId="4" fontId="16" fillId="24" borderId="42" xfId="0" applyNumberFormat="1" applyFont="1" applyFill="1" applyBorder="1" applyAlignment="1">
      <alignment horizontal="center" wrapText="1"/>
    </xf>
    <xf numFmtId="4" fontId="16" fillId="24" borderId="67" xfId="0" applyNumberFormat="1" applyFont="1" applyFill="1" applyBorder="1" applyAlignment="1">
      <alignment horizontal="center" wrapText="1"/>
    </xf>
    <xf numFmtId="4" fontId="16" fillId="24" borderId="47" xfId="0" applyNumberFormat="1" applyFont="1" applyFill="1" applyBorder="1" applyAlignment="1">
      <alignment horizontal="center" wrapText="1"/>
    </xf>
    <xf numFmtId="4" fontId="5" fillId="24" borderId="85" xfId="0" applyNumberFormat="1" applyFont="1" applyFill="1" applyBorder="1" applyAlignment="1">
      <alignment horizontal="center" wrapText="1"/>
    </xf>
    <xf numFmtId="4" fontId="5" fillId="24" borderId="61" xfId="0" applyNumberFormat="1" applyFont="1" applyFill="1" applyBorder="1" applyAlignment="1">
      <alignment horizontal="center" wrapText="1"/>
    </xf>
    <xf numFmtId="4" fontId="5" fillId="24" borderId="62" xfId="0" applyNumberFormat="1" applyFont="1" applyFill="1" applyBorder="1" applyAlignment="1">
      <alignment horizontal="center" wrapText="1"/>
    </xf>
    <xf numFmtId="4" fontId="16" fillId="24" borderId="85" xfId="0" applyNumberFormat="1" applyFont="1" applyFill="1" applyBorder="1" applyAlignment="1">
      <alignment horizontal="center" wrapText="1"/>
    </xf>
    <xf numFmtId="4" fontId="16" fillId="24" borderId="61" xfId="0" applyNumberFormat="1" applyFont="1" applyFill="1" applyBorder="1" applyAlignment="1">
      <alignment horizontal="center" wrapText="1"/>
    </xf>
    <xf numFmtId="4" fontId="15" fillId="24" borderId="0" xfId="45" applyNumberFormat="1" applyFont="1" applyFill="1" applyBorder="1" applyAlignment="1">
      <alignment horizontal="right" vertical="center"/>
      <protection/>
    </xf>
    <xf numFmtId="4" fontId="1" fillId="24" borderId="0" xfId="0" applyNumberFormat="1" applyFont="1" applyFill="1" applyBorder="1" applyAlignment="1">
      <alignment/>
    </xf>
    <xf numFmtId="4" fontId="1" fillId="24" borderId="0" xfId="0" applyNumberFormat="1" applyFont="1" applyFill="1" applyBorder="1" applyAlignment="1">
      <alignment/>
    </xf>
    <xf numFmtId="2" fontId="1" fillId="24" borderId="61" xfId="0" applyNumberFormat="1" applyFont="1" applyFill="1" applyBorder="1" applyAlignment="1">
      <alignment horizontal="center"/>
    </xf>
    <xf numFmtId="4" fontId="1" fillId="24" borderId="76" xfId="0" applyNumberFormat="1" applyFont="1" applyFill="1" applyBorder="1" applyAlignment="1">
      <alignment/>
    </xf>
    <xf numFmtId="4" fontId="1" fillId="24" borderId="52" xfId="0" applyNumberFormat="1" applyFont="1" applyFill="1" applyBorder="1" applyAlignment="1">
      <alignment/>
    </xf>
    <xf numFmtId="2" fontId="0" fillId="24" borderId="61" xfId="0" applyNumberFormat="1" applyFill="1" applyBorder="1" applyAlignment="1">
      <alignment horizontal="center"/>
    </xf>
    <xf numFmtId="4" fontId="0" fillId="24" borderId="0" xfId="0" applyNumberFormat="1" applyFill="1" applyBorder="1" applyAlignment="1">
      <alignment/>
    </xf>
    <xf numFmtId="4" fontId="0" fillId="24" borderId="76" xfId="0" applyNumberFormat="1" applyFill="1" applyBorder="1" applyAlignment="1">
      <alignment/>
    </xf>
    <xf numFmtId="4" fontId="0" fillId="24" borderId="52" xfId="0" applyNumberFormat="1" applyFill="1" applyBorder="1" applyAlignment="1">
      <alignment/>
    </xf>
    <xf numFmtId="2" fontId="0" fillId="24" borderId="62" xfId="0" applyNumberFormat="1" applyFill="1" applyBorder="1" applyAlignment="1">
      <alignment horizontal="center"/>
    </xf>
    <xf numFmtId="2" fontId="0" fillId="24" borderId="42" xfId="0" applyNumberFormat="1" applyFill="1" applyBorder="1" applyAlignment="1">
      <alignment horizontal="center"/>
    </xf>
    <xf numFmtId="2" fontId="0" fillId="24" borderId="57" xfId="0" applyNumberFormat="1" applyFill="1" applyBorder="1" applyAlignment="1">
      <alignment horizontal="center"/>
    </xf>
    <xf numFmtId="2" fontId="0" fillId="24" borderId="47" xfId="0" applyNumberFormat="1" applyFill="1" applyBorder="1" applyAlignment="1">
      <alignment horizontal="center"/>
    </xf>
    <xf numFmtId="2" fontId="0" fillId="24" borderId="85" xfId="0" applyNumberFormat="1" applyFill="1" applyBorder="1" applyAlignment="1">
      <alignment horizontal="center"/>
    </xf>
    <xf numFmtId="2" fontId="0" fillId="24" borderId="52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4" fontId="3" fillId="24" borderId="0" xfId="0" applyNumberFormat="1" applyFont="1" applyFill="1" applyBorder="1" applyAlignment="1">
      <alignment wrapText="1"/>
    </xf>
    <xf numFmtId="4" fontId="1" fillId="24" borderId="82" xfId="0" applyNumberFormat="1" applyFont="1" applyFill="1" applyBorder="1" applyAlignment="1">
      <alignment horizontal="center"/>
    </xf>
    <xf numFmtId="4" fontId="1" fillId="24" borderId="49" xfId="0" applyNumberFormat="1" applyFont="1" applyFill="1" applyBorder="1" applyAlignment="1">
      <alignment horizontal="center" wrapText="1"/>
    </xf>
    <xf numFmtId="4" fontId="1" fillId="24" borderId="25" xfId="0" applyNumberFormat="1" applyFont="1" applyFill="1" applyBorder="1" applyAlignment="1">
      <alignment horizontal="center" wrapText="1"/>
    </xf>
    <xf numFmtId="4" fontId="1" fillId="24" borderId="39" xfId="0" applyNumberFormat="1" applyFont="1" applyFill="1" applyBorder="1" applyAlignment="1">
      <alignment horizontal="center" wrapText="1"/>
    </xf>
    <xf numFmtId="4" fontId="16" fillId="24" borderId="54" xfId="0" applyNumberFormat="1" applyFont="1" applyFill="1" applyBorder="1" applyAlignment="1">
      <alignment horizontal="center" wrapText="1"/>
    </xf>
    <xf numFmtId="4" fontId="16" fillId="24" borderId="53" xfId="0" applyNumberFormat="1" applyFont="1" applyFill="1" applyBorder="1" applyAlignment="1">
      <alignment horizontal="center" wrapText="1"/>
    </xf>
    <xf numFmtId="4" fontId="16" fillId="24" borderId="55" xfId="0" applyNumberFormat="1" applyFont="1" applyFill="1" applyBorder="1" applyAlignment="1">
      <alignment horizontal="center" wrapText="1"/>
    </xf>
    <xf numFmtId="4" fontId="16" fillId="24" borderId="36" xfId="0" applyNumberFormat="1" applyFont="1" applyFill="1" applyBorder="1" applyAlignment="1">
      <alignment horizontal="center" wrapText="1"/>
    </xf>
    <xf numFmtId="4" fontId="16" fillId="24" borderId="35" xfId="0" applyNumberFormat="1" applyFont="1" applyFill="1" applyBorder="1" applyAlignment="1">
      <alignment horizontal="center" wrapText="1"/>
    </xf>
    <xf numFmtId="4" fontId="16" fillId="24" borderId="37" xfId="0" applyNumberFormat="1" applyFont="1" applyFill="1" applyBorder="1" applyAlignment="1">
      <alignment horizontal="center" wrapText="1"/>
    </xf>
    <xf numFmtId="4" fontId="16" fillId="24" borderId="32" xfId="0" applyNumberFormat="1" applyFont="1" applyFill="1" applyBorder="1" applyAlignment="1">
      <alignment horizontal="center" wrapText="1"/>
    </xf>
    <xf numFmtId="4" fontId="16" fillId="24" borderId="33" xfId="0" applyNumberFormat="1" applyFont="1" applyFill="1" applyBorder="1" applyAlignment="1">
      <alignment horizontal="center" wrapText="1"/>
    </xf>
    <xf numFmtId="4" fontId="16" fillId="24" borderId="34" xfId="0" applyNumberFormat="1" applyFont="1" applyFill="1" applyBorder="1" applyAlignment="1">
      <alignment horizontal="center" wrapText="1"/>
    </xf>
    <xf numFmtId="4" fontId="1" fillId="24" borderId="55" xfId="0" applyNumberFormat="1" applyFont="1" applyFill="1" applyBorder="1" applyAlignment="1">
      <alignment horizontal="center" wrapText="1"/>
    </xf>
    <xf numFmtId="4" fontId="1" fillId="24" borderId="30" xfId="0" applyNumberFormat="1" applyFont="1" applyFill="1" applyBorder="1" applyAlignment="1">
      <alignment horizontal="center" wrapText="1"/>
    </xf>
    <xf numFmtId="4" fontId="16" fillId="24" borderId="31" xfId="0" applyNumberFormat="1" applyFont="1" applyFill="1" applyBorder="1" applyAlignment="1">
      <alignment horizontal="center" wrapText="1"/>
    </xf>
    <xf numFmtId="4" fontId="1" fillId="24" borderId="43" xfId="0" applyNumberFormat="1" applyFont="1" applyFill="1" applyBorder="1" applyAlignment="1">
      <alignment horizontal="center"/>
    </xf>
    <xf numFmtId="4" fontId="1" fillId="24" borderId="44" xfId="0" applyNumberFormat="1" applyFont="1" applyFill="1" applyBorder="1" applyAlignment="1">
      <alignment horizontal="center"/>
    </xf>
    <xf numFmtId="4" fontId="1" fillId="24" borderId="25" xfId="0" applyNumberFormat="1" applyFont="1" applyFill="1" applyBorder="1" applyAlignment="1">
      <alignment horizontal="center"/>
    </xf>
    <xf numFmtId="4" fontId="1" fillId="24" borderId="39" xfId="0" applyNumberFormat="1" applyFont="1" applyFill="1" applyBorder="1" applyAlignment="1">
      <alignment horizontal="center"/>
    </xf>
    <xf numFmtId="4" fontId="1" fillId="24" borderId="26" xfId="0" applyNumberFormat="1" applyFont="1" applyFill="1" applyBorder="1" applyAlignment="1">
      <alignment horizontal="center"/>
    </xf>
    <xf numFmtId="165" fontId="1" fillId="24" borderId="36" xfId="38" applyNumberFormat="1" applyFont="1" applyFill="1" applyBorder="1" applyAlignment="1">
      <alignment horizontal="center" wrapText="1"/>
    </xf>
    <xf numFmtId="165" fontId="1" fillId="24" borderId="35" xfId="38" applyNumberFormat="1" applyFont="1" applyFill="1" applyBorder="1" applyAlignment="1">
      <alignment horizontal="center" wrapText="1"/>
    </xf>
    <xf numFmtId="165" fontId="1" fillId="24" borderId="37" xfId="38" applyNumberFormat="1" applyFont="1" applyFill="1" applyBorder="1" applyAlignment="1">
      <alignment horizontal="center" wrapText="1"/>
    </xf>
    <xf numFmtId="4" fontId="1" fillId="24" borderId="30" xfId="0" applyNumberFormat="1" applyFont="1" applyFill="1" applyBorder="1" applyAlignment="1">
      <alignment horizontal="center"/>
    </xf>
    <xf numFmtId="4" fontId="1" fillId="24" borderId="18" xfId="0" applyNumberFormat="1" applyFont="1" applyFill="1" applyBorder="1" applyAlignment="1">
      <alignment horizontal="center"/>
    </xf>
    <xf numFmtId="4" fontId="1" fillId="24" borderId="19" xfId="0" applyNumberFormat="1" applyFont="1" applyFill="1" applyBorder="1" applyAlignment="1">
      <alignment horizontal="center"/>
    </xf>
    <xf numFmtId="4" fontId="1" fillId="24" borderId="20" xfId="0" applyNumberFormat="1" applyFont="1" applyFill="1" applyBorder="1" applyAlignment="1">
      <alignment horizontal="center"/>
    </xf>
    <xf numFmtId="4" fontId="1" fillId="24" borderId="16" xfId="0" applyNumberFormat="1" applyFont="1" applyFill="1" applyBorder="1" applyAlignment="1">
      <alignment horizontal="center"/>
    </xf>
    <xf numFmtId="4" fontId="1" fillId="24" borderId="15" xfId="0" applyNumberFormat="1" applyFont="1" applyFill="1" applyBorder="1" applyAlignment="1">
      <alignment horizontal="center"/>
    </xf>
    <xf numFmtId="4" fontId="1" fillId="24" borderId="17" xfId="0" applyNumberFormat="1" applyFont="1" applyFill="1" applyBorder="1" applyAlignment="1">
      <alignment horizontal="center"/>
    </xf>
    <xf numFmtId="4" fontId="1" fillId="24" borderId="73" xfId="0" applyNumberFormat="1" applyFont="1" applyFill="1" applyBorder="1" applyAlignment="1">
      <alignment horizontal="center"/>
    </xf>
    <xf numFmtId="4" fontId="1" fillId="24" borderId="27" xfId="0" applyNumberFormat="1" applyFont="1" applyFill="1" applyBorder="1" applyAlignment="1">
      <alignment horizontal="center"/>
    </xf>
    <xf numFmtId="4" fontId="1" fillId="24" borderId="52" xfId="0" applyNumberFormat="1" applyFont="1" applyFill="1" applyBorder="1" applyAlignment="1">
      <alignment horizontal="center"/>
    </xf>
    <xf numFmtId="4" fontId="0" fillId="24" borderId="0" xfId="0" applyNumberFormat="1" applyFont="1" applyFill="1" applyAlignment="1">
      <alignment/>
    </xf>
    <xf numFmtId="4" fontId="1" fillId="24" borderId="6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4" fontId="16" fillId="0" borderId="45" xfId="0" applyNumberFormat="1" applyFont="1" applyFill="1" applyBorder="1" applyAlignment="1">
      <alignment horizontal="center" wrapText="1"/>
    </xf>
    <xf numFmtId="4" fontId="16" fillId="0" borderId="42" xfId="0" applyNumberFormat="1" applyFont="1" applyFill="1" applyBorder="1" applyAlignment="1">
      <alignment horizontal="center" wrapText="1"/>
    </xf>
    <xf numFmtId="4" fontId="1" fillId="24" borderId="63" xfId="0" applyNumberFormat="1" applyFont="1" applyFill="1" applyBorder="1" applyAlignment="1">
      <alignment horizontal="center" wrapText="1"/>
    </xf>
    <xf numFmtId="4" fontId="3" fillId="0" borderId="87" xfId="0" applyNumberFormat="1" applyFont="1" applyBorder="1" applyAlignment="1">
      <alignment horizontal="center" wrapText="1"/>
    </xf>
    <xf numFmtId="4" fontId="3" fillId="0" borderId="45" xfId="0" applyNumberFormat="1" applyFont="1" applyBorder="1" applyAlignment="1">
      <alignment horizontal="center" wrapText="1"/>
    </xf>
    <xf numFmtId="4" fontId="3" fillId="0" borderId="67" xfId="0" applyNumberFormat="1" applyFont="1" applyBorder="1" applyAlignment="1">
      <alignment horizontal="center" wrapText="1"/>
    </xf>
    <xf numFmtId="2" fontId="1" fillId="24" borderId="66" xfId="0" applyNumberFormat="1" applyFont="1" applyFill="1" applyBorder="1" applyAlignment="1">
      <alignment horizontal="center" wrapText="1"/>
    </xf>
    <xf numFmtId="2" fontId="1" fillId="24" borderId="69" xfId="0" applyNumberFormat="1" applyFont="1" applyFill="1" applyBorder="1" applyAlignment="1">
      <alignment horizontal="center" wrapText="1"/>
    </xf>
    <xf numFmtId="4" fontId="1" fillId="24" borderId="67" xfId="0" applyNumberFormat="1" applyFont="1" applyFill="1" applyBorder="1" applyAlignment="1">
      <alignment horizontal="center"/>
    </xf>
    <xf numFmtId="4" fontId="1" fillId="24" borderId="64" xfId="0" applyNumberFormat="1" applyFont="1" applyFill="1" applyBorder="1" applyAlignment="1">
      <alignment horizontal="center" wrapText="1"/>
    </xf>
    <xf numFmtId="4" fontId="1" fillId="24" borderId="89" xfId="0" applyNumberFormat="1" applyFont="1" applyFill="1" applyBorder="1" applyAlignment="1">
      <alignment horizontal="center" wrapText="1"/>
    </xf>
    <xf numFmtId="4" fontId="1" fillId="0" borderId="52" xfId="0" applyNumberFormat="1" applyFont="1" applyBorder="1" applyAlignment="1">
      <alignment horizontal="center"/>
    </xf>
    <xf numFmtId="2" fontId="0" fillId="24" borderId="69" xfId="0" applyNumberForma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17" borderId="0" xfId="0" applyFill="1" applyBorder="1" applyAlignment="1">
      <alignment horizontal="center"/>
    </xf>
    <xf numFmtId="0" fontId="0" fillId="0" borderId="61" xfId="0" applyFont="1" applyBorder="1" applyAlignment="1">
      <alignment/>
    </xf>
    <xf numFmtId="4" fontId="1" fillId="0" borderId="67" xfId="0" applyNumberFormat="1" applyFont="1" applyFill="1" applyBorder="1" applyAlignment="1">
      <alignment horizontal="center" wrapText="1"/>
    </xf>
    <xf numFmtId="4" fontId="1" fillId="0" borderId="47" xfId="0" applyNumberFormat="1" applyFont="1" applyFill="1" applyBorder="1" applyAlignment="1">
      <alignment horizont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5" fillId="24" borderId="87" xfId="0" applyNumberFormat="1" applyFont="1" applyFill="1" applyBorder="1" applyAlignment="1">
      <alignment horizontal="center" wrapText="1"/>
    </xf>
    <xf numFmtId="4" fontId="5" fillId="24" borderId="45" xfId="0" applyNumberFormat="1" applyFont="1" applyFill="1" applyBorder="1" applyAlignment="1">
      <alignment horizontal="center" wrapText="1"/>
    </xf>
    <xf numFmtId="4" fontId="5" fillId="24" borderId="67" xfId="0" applyNumberFormat="1" applyFont="1" applyFill="1" applyBorder="1" applyAlignment="1">
      <alignment horizontal="center" wrapText="1"/>
    </xf>
    <xf numFmtId="4" fontId="1" fillId="24" borderId="68" xfId="0" applyNumberFormat="1" applyFont="1" applyFill="1" applyBorder="1" applyAlignment="1">
      <alignment horizontal="center" wrapText="1"/>
    </xf>
    <xf numFmtId="4" fontId="1" fillId="24" borderId="69" xfId="0" applyNumberFormat="1" applyFont="1" applyFill="1" applyBorder="1" applyAlignment="1">
      <alignment horizontal="center" wrapText="1"/>
    </xf>
    <xf numFmtId="0" fontId="3" fillId="24" borderId="61" xfId="0" applyFont="1" applyFill="1" applyBorder="1" applyAlignment="1">
      <alignment horizontal="center" wrapText="1"/>
    </xf>
    <xf numFmtId="0" fontId="0" fillId="24" borderId="66" xfId="0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43" fontId="3" fillId="24" borderId="85" xfId="33" applyFont="1" applyFill="1" applyBorder="1" applyAlignment="1">
      <alignment wrapText="1"/>
    </xf>
    <xf numFmtId="43" fontId="3" fillId="24" borderId="62" xfId="33" applyFont="1" applyFill="1" applyBorder="1" applyAlignment="1">
      <alignment wrapText="1"/>
    </xf>
    <xf numFmtId="0" fontId="1" fillId="0" borderId="62" xfId="0" applyFont="1" applyBorder="1" applyAlignment="1">
      <alignment horizontal="center" vertical="center" wrapText="1"/>
    </xf>
    <xf numFmtId="2" fontId="1" fillId="0" borderId="85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85" xfId="0" applyNumberFormat="1" applyFont="1" applyFill="1" applyBorder="1" applyAlignment="1">
      <alignment horizontal="center" wrapText="1"/>
    </xf>
    <xf numFmtId="2" fontId="1" fillId="0" borderId="61" xfId="0" applyNumberFormat="1" applyFont="1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2" fontId="1" fillId="0" borderId="62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wrapText="1"/>
    </xf>
    <xf numFmtId="4" fontId="1" fillId="24" borderId="75" xfId="0" applyNumberFormat="1" applyFont="1" applyFill="1" applyBorder="1" applyAlignment="1">
      <alignment horizontal="center" wrapText="1"/>
    </xf>
    <xf numFmtId="0" fontId="0" fillId="24" borderId="61" xfId="0" applyFill="1" applyBorder="1" applyAlignment="1">
      <alignment horizontal="center" wrapText="1"/>
    </xf>
    <xf numFmtId="4" fontId="1" fillId="24" borderId="61" xfId="0" applyNumberFormat="1" applyFont="1" applyFill="1" applyBorder="1" applyAlignment="1">
      <alignment horizontal="center" wrapText="1"/>
    </xf>
    <xf numFmtId="0" fontId="0" fillId="24" borderId="62" xfId="0" applyFill="1" applyBorder="1" applyAlignment="1">
      <alignment horizontal="center" wrapText="1"/>
    </xf>
    <xf numFmtId="4" fontId="1" fillId="24" borderId="61" xfId="0" applyNumberFormat="1" applyFont="1" applyFill="1" applyBorder="1" applyAlignment="1">
      <alignment horizontal="center"/>
    </xf>
    <xf numFmtId="2" fontId="1" fillId="24" borderId="85" xfId="0" applyNumberFormat="1" applyFont="1" applyFill="1" applyBorder="1" applyAlignment="1">
      <alignment horizontal="center" wrapText="1"/>
    </xf>
    <xf numFmtId="0" fontId="1" fillId="24" borderId="85" xfId="0" applyFont="1" applyFill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4" fontId="1" fillId="24" borderId="86" xfId="0" applyNumberFormat="1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wrapText="1"/>
    </xf>
    <xf numFmtId="4" fontId="1" fillId="0" borderId="44" xfId="0" applyNumberFormat="1" applyFont="1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4" fontId="1" fillId="24" borderId="49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4" fontId="1" fillId="0" borderId="83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2" xfId="0" applyFont="1" applyBorder="1" applyAlignment="1">
      <alignment horizontal="center" vertical="center" wrapText="1"/>
    </xf>
    <xf numFmtId="2" fontId="1" fillId="24" borderId="62" xfId="0" applyNumberFormat="1" applyFont="1" applyFill="1" applyBorder="1" applyAlignment="1">
      <alignment horizontal="center" wrapText="1"/>
    </xf>
    <xf numFmtId="4" fontId="3" fillId="24" borderId="85" xfId="0" applyNumberFormat="1" applyFont="1" applyFill="1" applyBorder="1" applyAlignment="1">
      <alignment horizontal="center" wrapText="1"/>
    </xf>
    <xf numFmtId="4" fontId="3" fillId="24" borderId="62" xfId="0" applyNumberFormat="1" applyFont="1" applyFill="1" applyBorder="1" applyAlignment="1">
      <alignment horizontal="center" wrapText="1"/>
    </xf>
    <xf numFmtId="4" fontId="1" fillId="24" borderId="85" xfId="0" applyNumberFormat="1" applyFont="1" applyFill="1" applyBorder="1" applyAlignment="1">
      <alignment horizontal="center" wrapText="1"/>
    </xf>
    <xf numFmtId="4" fontId="1" fillId="24" borderId="85" xfId="0" applyNumberFormat="1" applyFont="1" applyFill="1" applyBorder="1" applyAlignment="1">
      <alignment horizontal="center"/>
    </xf>
    <xf numFmtId="4" fontId="1" fillId="24" borderId="62" xfId="0" applyNumberFormat="1" applyFont="1" applyFill="1" applyBorder="1" applyAlignment="1">
      <alignment horizontal="center"/>
    </xf>
    <xf numFmtId="4" fontId="9" fillId="0" borderId="85" xfId="0" applyNumberFormat="1" applyFont="1" applyFill="1" applyBorder="1" applyAlignment="1">
      <alignment horizontal="center"/>
    </xf>
    <xf numFmtId="4" fontId="9" fillId="0" borderId="62" xfId="0" applyNumberFormat="1" applyFont="1" applyFill="1" applyBorder="1" applyAlignment="1">
      <alignment horizontal="center"/>
    </xf>
    <xf numFmtId="2" fontId="1" fillId="24" borderId="85" xfId="0" applyNumberFormat="1" applyFont="1" applyFill="1" applyBorder="1" applyAlignment="1">
      <alignment horizontal="center"/>
    </xf>
    <xf numFmtId="2" fontId="1" fillId="24" borderId="62" xfId="0" applyNumberFormat="1" applyFont="1" applyFill="1" applyBorder="1" applyAlignment="1">
      <alignment horizontal="center"/>
    </xf>
    <xf numFmtId="0" fontId="0" fillId="24" borderId="62" xfId="0" applyFill="1" applyBorder="1" applyAlignment="1">
      <alignment horizontal="center"/>
    </xf>
    <xf numFmtId="4" fontId="3" fillId="24" borderId="76" xfId="0" applyNumberFormat="1" applyFont="1" applyFill="1" applyBorder="1" applyAlignment="1">
      <alignment wrapText="1"/>
    </xf>
    <xf numFmtId="4" fontId="3" fillId="24" borderId="52" xfId="0" applyNumberFormat="1" applyFont="1" applyFill="1" applyBorder="1" applyAlignment="1">
      <alignment wrapText="1"/>
    </xf>
    <xf numFmtId="0" fontId="3" fillId="4" borderId="85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4" fontId="1" fillId="24" borderId="78" xfId="0" applyNumberFormat="1" applyFont="1" applyFill="1" applyBorder="1" applyAlignment="1">
      <alignment horizontal="center"/>
    </xf>
    <xf numFmtId="4" fontId="1" fillId="24" borderId="48" xfId="0" applyNumberFormat="1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 wrapText="1"/>
    </xf>
    <xf numFmtId="0" fontId="3" fillId="4" borderId="40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0" fillId="24" borderId="61" xfId="0" applyFill="1" applyBorder="1" applyAlignment="1">
      <alignment/>
    </xf>
    <xf numFmtId="4" fontId="1" fillId="0" borderId="57" xfId="0" applyNumberFormat="1" applyFont="1" applyBorder="1" applyAlignment="1">
      <alignment horizontal="center" wrapText="1"/>
    </xf>
    <xf numFmtId="4" fontId="1" fillId="0" borderId="87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7" xfId="0" applyBorder="1" applyAlignment="1">
      <alignment horizontal="center"/>
    </xf>
    <xf numFmtId="4" fontId="2" fillId="0" borderId="50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2" fillId="0" borderId="45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1" fillId="0" borderId="86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 wrapText="1"/>
    </xf>
    <xf numFmtId="4" fontId="2" fillId="0" borderId="62" xfId="0" applyNumberFormat="1" applyFont="1" applyBorder="1" applyAlignment="1">
      <alignment horizontal="center" wrapText="1"/>
    </xf>
    <xf numFmtId="4" fontId="3" fillId="24" borderId="87" xfId="0" applyNumberFormat="1" applyFont="1" applyFill="1" applyBorder="1" applyAlignment="1">
      <alignment horizontal="center" wrapText="1"/>
    </xf>
    <xf numFmtId="4" fontId="3" fillId="24" borderId="45" xfId="0" applyNumberFormat="1" applyFont="1" applyFill="1" applyBorder="1" applyAlignment="1">
      <alignment horizontal="center" wrapText="1"/>
    </xf>
    <xf numFmtId="4" fontId="3" fillId="24" borderId="67" xfId="0" applyNumberFormat="1" applyFont="1" applyFill="1" applyBorder="1" applyAlignment="1">
      <alignment horizontal="center" wrapText="1"/>
    </xf>
    <xf numFmtId="4" fontId="3" fillId="24" borderId="85" xfId="0" applyNumberFormat="1" applyFont="1" applyFill="1" applyBorder="1" applyAlignment="1">
      <alignment horizontal="center"/>
    </xf>
    <xf numFmtId="4" fontId="3" fillId="24" borderId="61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 wrapText="1"/>
    </xf>
    <xf numFmtId="4" fontId="1" fillId="24" borderId="78" xfId="0" applyNumberFormat="1" applyFont="1" applyFill="1" applyBorder="1" applyAlignment="1">
      <alignment horizontal="center" wrapText="1"/>
    </xf>
    <xf numFmtId="4" fontId="1" fillId="24" borderId="48" xfId="0" applyNumberFormat="1" applyFont="1" applyFill="1" applyBorder="1" applyAlignment="1">
      <alignment horizontal="center" wrapText="1"/>
    </xf>
    <xf numFmtId="4" fontId="1" fillId="0" borderId="78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2" fillId="0" borderId="87" xfId="0" applyNumberFormat="1" applyFont="1" applyBorder="1" applyAlignment="1">
      <alignment horizontal="center"/>
    </xf>
    <xf numFmtId="4" fontId="1" fillId="0" borderId="62" xfId="0" applyNumberFormat="1" applyFont="1" applyFill="1" applyBorder="1" applyAlignment="1">
      <alignment horizontal="center" wrapText="1"/>
    </xf>
    <xf numFmtId="2" fontId="0" fillId="24" borderId="66" xfId="0" applyNumberFormat="1" applyFill="1" applyBorder="1" applyAlignment="1">
      <alignment horizontal="center"/>
    </xf>
    <xf numFmtId="4" fontId="3" fillId="26" borderId="65" xfId="0" applyNumberFormat="1" applyFont="1" applyFill="1" applyBorder="1" applyAlignment="1">
      <alignment horizontal="center"/>
    </xf>
    <xf numFmtId="4" fontId="3" fillId="26" borderId="80" xfId="0" applyNumberFormat="1" applyFont="1" applyFill="1" applyBorder="1" applyAlignment="1">
      <alignment horizontal="center"/>
    </xf>
    <xf numFmtId="4" fontId="3" fillId="24" borderId="87" xfId="0" applyNumberFormat="1" applyFont="1" applyFill="1" applyBorder="1" applyAlignment="1">
      <alignment horizontal="center"/>
    </xf>
    <xf numFmtId="4" fontId="3" fillId="24" borderId="45" xfId="0" applyNumberFormat="1" applyFont="1" applyFill="1" applyBorder="1" applyAlignment="1">
      <alignment horizontal="center"/>
    </xf>
    <xf numFmtId="4" fontId="3" fillId="24" borderId="67" xfId="0" applyNumberFormat="1" applyFont="1" applyFill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85" xfId="0" applyNumberFormat="1" applyFont="1" applyFill="1" applyBorder="1" applyAlignment="1">
      <alignment horizontal="center" wrapText="1"/>
    </xf>
    <xf numFmtId="4" fontId="1" fillId="0" borderId="61" xfId="0" applyNumberFormat="1" applyFont="1" applyFill="1" applyBorder="1" applyAlignment="1">
      <alignment horizontal="center" wrapText="1"/>
    </xf>
    <xf numFmtId="4" fontId="3" fillId="0" borderId="61" xfId="0" applyNumberFormat="1" applyFont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4" fontId="1" fillId="24" borderId="85" xfId="46" applyNumberFormat="1" applyFont="1" applyFill="1" applyBorder="1" applyAlignment="1">
      <alignment horizontal="center" wrapText="1"/>
    </xf>
    <xf numFmtId="4" fontId="1" fillId="24" borderId="61" xfId="46" applyNumberFormat="1" applyFont="1" applyFill="1" applyBorder="1" applyAlignment="1">
      <alignment horizontal="center" wrapText="1"/>
    </xf>
    <xf numFmtId="4" fontId="1" fillId="24" borderId="62" xfId="46" applyNumberFormat="1" applyFont="1" applyFill="1" applyBorder="1" applyAlignment="1">
      <alignment horizontal="center" wrapText="1"/>
    </xf>
    <xf numFmtId="4" fontId="3" fillId="4" borderId="79" xfId="0" applyNumberFormat="1" applyFont="1" applyFill="1" applyBorder="1" applyAlignment="1">
      <alignment horizontal="center" vertical="center"/>
    </xf>
    <xf numFmtId="4" fontId="3" fillId="4" borderId="80" xfId="0" applyNumberFormat="1" applyFont="1" applyFill="1" applyBorder="1" applyAlignment="1">
      <alignment horizontal="center" vertical="center"/>
    </xf>
    <xf numFmtId="0" fontId="3" fillId="26" borderId="79" xfId="0" applyFont="1" applyFill="1" applyBorder="1" applyAlignment="1">
      <alignment horizontal="center"/>
    </xf>
    <xf numFmtId="0" fontId="3" fillId="26" borderId="80" xfId="0" applyFont="1" applyFill="1" applyBorder="1" applyAlignment="1">
      <alignment horizontal="center"/>
    </xf>
    <xf numFmtId="4" fontId="3" fillId="26" borderId="79" xfId="0" applyNumberFormat="1" applyFont="1" applyFill="1" applyBorder="1" applyAlignment="1">
      <alignment horizontal="center"/>
    </xf>
    <xf numFmtId="4" fontId="3" fillId="26" borderId="81" xfId="0" applyNumberFormat="1" applyFont="1" applyFill="1" applyBorder="1" applyAlignment="1">
      <alignment horizontal="center"/>
    </xf>
    <xf numFmtId="4" fontId="1" fillId="0" borderId="78" xfId="0" applyNumberFormat="1" applyFont="1" applyBorder="1" applyAlignment="1">
      <alignment horizontal="center"/>
    </xf>
    <xf numFmtId="0" fontId="0" fillId="24" borderId="62" xfId="0" applyFont="1" applyFill="1" applyBorder="1" applyAlignment="1">
      <alignment horizontal="center" wrapText="1"/>
    </xf>
    <xf numFmtId="4" fontId="16" fillId="24" borderId="85" xfId="0" applyNumberFormat="1" applyFont="1" applyFill="1" applyBorder="1" applyAlignment="1">
      <alignment horizontal="center"/>
    </xf>
    <xf numFmtId="4" fontId="16" fillId="24" borderId="61" xfId="0" applyNumberFormat="1" applyFont="1" applyFill="1" applyBorder="1" applyAlignment="1">
      <alignment horizontal="center"/>
    </xf>
    <xf numFmtId="4" fontId="16" fillId="24" borderId="62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wrapText="1"/>
    </xf>
    <xf numFmtId="4" fontId="1" fillId="0" borderId="83" xfId="0" applyNumberFormat="1" applyFont="1" applyFill="1" applyBorder="1" applyAlignment="1">
      <alignment horizontal="center" wrapText="1"/>
    </xf>
    <xf numFmtId="10" fontId="0" fillId="24" borderId="61" xfId="46" applyNumberFormat="1" applyFont="1" applyFill="1" applyBorder="1" applyAlignment="1">
      <alignment horizontal="center" wrapText="1"/>
    </xf>
    <xf numFmtId="0" fontId="0" fillId="0" borderId="61" xfId="0" applyBorder="1" applyAlignment="1">
      <alignment horizontal="center" vertical="center" wrapText="1"/>
    </xf>
    <xf numFmtId="2" fontId="0" fillId="24" borderId="62" xfId="0" applyNumberFormat="1" applyFill="1" applyBorder="1" applyAlignment="1">
      <alignment horizontal="center"/>
    </xf>
    <xf numFmtId="10" fontId="1" fillId="24" borderId="85" xfId="46" applyNumberFormat="1" applyFont="1" applyFill="1" applyBorder="1" applyAlignment="1">
      <alignment horizontal="center" wrapText="1"/>
    </xf>
    <xf numFmtId="10" fontId="1" fillId="24" borderId="61" xfId="46" applyNumberFormat="1" applyFont="1" applyFill="1" applyBorder="1" applyAlignment="1">
      <alignment horizontal="center" wrapText="1"/>
    </xf>
    <xf numFmtId="2" fontId="0" fillId="24" borderId="85" xfId="0" applyNumberFormat="1" applyFill="1" applyBorder="1" applyAlignment="1">
      <alignment horizontal="center"/>
    </xf>
    <xf numFmtId="2" fontId="0" fillId="24" borderId="61" xfId="0" applyNumberFormat="1" applyFill="1" applyBorder="1" applyAlignment="1">
      <alignment horizontal="center"/>
    </xf>
    <xf numFmtId="2" fontId="1" fillId="24" borderId="66" xfId="0" applyNumberFormat="1" applyFont="1" applyFill="1" applyBorder="1" applyAlignment="1">
      <alignment horizontal="center"/>
    </xf>
    <xf numFmtId="2" fontId="1" fillId="24" borderId="69" xfId="0" applyNumberFormat="1" applyFont="1" applyFill="1" applyBorder="1" applyAlignment="1">
      <alignment horizontal="center"/>
    </xf>
    <xf numFmtId="4" fontId="1" fillId="24" borderId="61" xfId="0" applyNumberFormat="1" applyFont="1" applyFill="1" applyBorder="1" applyAlignment="1">
      <alignment horizontal="center"/>
    </xf>
    <xf numFmtId="4" fontId="1" fillId="24" borderId="62" xfId="0" applyNumberFormat="1" applyFont="1" applyFill="1" applyBorder="1" applyAlignment="1">
      <alignment horizontal="center"/>
    </xf>
    <xf numFmtId="4" fontId="1" fillId="24" borderId="85" xfId="0" applyNumberFormat="1" applyFont="1" applyFill="1" applyBorder="1" applyAlignment="1">
      <alignment horizontal="center"/>
    </xf>
    <xf numFmtId="0" fontId="0" fillId="24" borderId="62" xfId="0" applyFill="1" applyBorder="1" applyAlignment="1">
      <alignment horizontal="center"/>
    </xf>
    <xf numFmtId="0" fontId="0" fillId="24" borderId="61" xfId="0" applyFill="1" applyBorder="1" applyAlignment="1">
      <alignment/>
    </xf>
    <xf numFmtId="0" fontId="0" fillId="24" borderId="62" xfId="0" applyFill="1" applyBorder="1" applyAlignment="1">
      <alignment/>
    </xf>
    <xf numFmtId="4" fontId="2" fillId="0" borderId="67" xfId="0" applyNumberFormat="1" applyFont="1" applyBorder="1" applyAlignment="1">
      <alignment horizontal="center" wrapText="1"/>
    </xf>
    <xf numFmtId="4" fontId="3" fillId="0" borderId="45" xfId="0" applyNumberFormat="1" applyFont="1" applyBorder="1" applyAlignment="1">
      <alignment horizontal="center"/>
    </xf>
    <xf numFmtId="2" fontId="0" fillId="24" borderId="68" xfId="0" applyNumberFormat="1" applyFill="1" applyBorder="1" applyAlignment="1">
      <alignment horizontal="center"/>
    </xf>
    <xf numFmtId="2" fontId="0" fillId="24" borderId="71" xfId="0" applyNumberFormat="1" applyFill="1" applyBorder="1" applyAlignment="1">
      <alignment horizontal="center"/>
    </xf>
    <xf numFmtId="2" fontId="0" fillId="24" borderId="70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67" xfId="0" applyBorder="1" applyAlignment="1">
      <alignment/>
    </xf>
    <xf numFmtId="0" fontId="0" fillId="0" borderId="47" xfId="0" applyBorder="1" applyAlignment="1">
      <alignment/>
    </xf>
    <xf numFmtId="0" fontId="1" fillId="0" borderId="62" xfId="0" applyFont="1" applyFill="1" applyBorder="1" applyAlignment="1">
      <alignment horizontal="center" vertical="center" wrapText="1"/>
    </xf>
    <xf numFmtId="4" fontId="2" fillId="0" borderId="87" xfId="0" applyNumberFormat="1" applyFont="1" applyBorder="1" applyAlignment="1">
      <alignment horizontal="center" wrapText="1"/>
    </xf>
    <xf numFmtId="4" fontId="2" fillId="0" borderId="45" xfId="0" applyNumberFormat="1" applyFont="1" applyBorder="1" applyAlignment="1">
      <alignment horizontal="center" wrapText="1"/>
    </xf>
    <xf numFmtId="4" fontId="1" fillId="24" borderId="45" xfId="0" applyNumberFormat="1" applyFont="1" applyFill="1" applyBorder="1" applyAlignment="1">
      <alignment horizontal="center"/>
    </xf>
    <xf numFmtId="4" fontId="1" fillId="24" borderId="42" xfId="0" applyNumberFormat="1" applyFont="1" applyFill="1" applyBorder="1" applyAlignment="1">
      <alignment horizontal="center"/>
    </xf>
    <xf numFmtId="4" fontId="1" fillId="24" borderId="67" xfId="0" applyNumberFormat="1" applyFont="1" applyFill="1" applyBorder="1" applyAlignment="1">
      <alignment horizontal="center"/>
    </xf>
    <xf numFmtId="4" fontId="1" fillId="24" borderId="47" xfId="0" applyNumberFormat="1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0" xfId="0" applyBorder="1" applyAlignment="1">
      <alignment/>
    </xf>
    <xf numFmtId="4" fontId="0" fillId="0" borderId="62" xfId="0" applyNumberFormat="1" applyBorder="1" applyAlignment="1">
      <alignment horizontal="center" wrapText="1"/>
    </xf>
    <xf numFmtId="4" fontId="1" fillId="24" borderId="67" xfId="0" applyNumberFormat="1" applyFont="1" applyFill="1" applyBorder="1" applyAlignment="1">
      <alignment horizontal="center" wrapText="1"/>
    </xf>
    <xf numFmtId="4" fontId="1" fillId="24" borderId="47" xfId="0" applyNumberFormat="1" applyFont="1" applyFill="1" applyBorder="1" applyAlignment="1">
      <alignment horizontal="center" wrapText="1"/>
    </xf>
    <xf numFmtId="4" fontId="3" fillId="0" borderId="87" xfId="0" applyNumberFormat="1" applyFont="1" applyBorder="1" applyAlignment="1">
      <alignment horizontal="center"/>
    </xf>
    <xf numFmtId="4" fontId="3" fillId="0" borderId="67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2" fontId="1" fillId="24" borderId="62" xfId="0" applyNumberFormat="1" applyFont="1" applyFill="1" applyBorder="1" applyAlignment="1">
      <alignment horizontal="center" wrapText="1"/>
    </xf>
    <xf numFmtId="4" fontId="1" fillId="24" borderId="83" xfId="0" applyNumberFormat="1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center" wrapText="1"/>
    </xf>
    <xf numFmtId="4" fontId="1" fillId="24" borderId="87" xfId="0" applyNumberFormat="1" applyFont="1" applyFill="1" applyBorder="1" applyAlignment="1">
      <alignment horizontal="center"/>
    </xf>
    <xf numFmtId="4" fontId="1" fillId="24" borderId="50" xfId="0" applyNumberFormat="1" applyFont="1" applyFill="1" applyBorder="1" applyAlignment="1">
      <alignment horizontal="center"/>
    </xf>
    <xf numFmtId="4" fontId="3" fillId="24" borderId="62" xfId="0" applyNumberFormat="1" applyFont="1" applyFill="1" applyBorder="1" applyAlignment="1">
      <alignment horizontal="center" wrapText="1"/>
    </xf>
    <xf numFmtId="2" fontId="1" fillId="24" borderId="85" xfId="0" applyNumberFormat="1" applyFont="1" applyFill="1" applyBorder="1" applyAlignment="1">
      <alignment horizontal="center"/>
    </xf>
    <xf numFmtId="2" fontId="1" fillId="24" borderId="61" xfId="0" applyNumberFormat="1" applyFont="1" applyFill="1" applyBorder="1" applyAlignment="1">
      <alignment horizontal="center"/>
    </xf>
    <xf numFmtId="2" fontId="1" fillId="24" borderId="62" xfId="0" applyNumberFormat="1" applyFont="1" applyFill="1" applyBorder="1" applyAlignment="1">
      <alignment horizontal="center"/>
    </xf>
    <xf numFmtId="4" fontId="0" fillId="0" borderId="69" xfId="0" applyNumberFormat="1" applyBorder="1" applyAlignment="1">
      <alignment horizontal="center" wrapText="1"/>
    </xf>
    <xf numFmtId="4" fontId="1" fillId="24" borderId="42" xfId="0" applyNumberFormat="1" applyFont="1" applyFill="1" applyBorder="1" applyAlignment="1">
      <alignment horizontal="center" wrapText="1"/>
    </xf>
    <xf numFmtId="4" fontId="1" fillId="0" borderId="87" xfId="0" applyNumberFormat="1" applyFont="1" applyFill="1" applyBorder="1" applyAlignment="1">
      <alignment horizontal="center" wrapText="1"/>
    </xf>
    <xf numFmtId="4" fontId="1" fillId="0" borderId="50" xfId="0" applyNumberFormat="1" applyFont="1" applyFill="1" applyBorder="1" applyAlignment="1">
      <alignment horizontal="center" wrapText="1"/>
    </xf>
    <xf numFmtId="4" fontId="1" fillId="0" borderId="45" xfId="0" applyNumberFormat="1" applyFont="1" applyFill="1" applyBorder="1" applyAlignment="1">
      <alignment horizontal="center" wrapText="1"/>
    </xf>
    <xf numFmtId="4" fontId="1" fillId="0" borderId="42" xfId="0" applyNumberFormat="1" applyFont="1" applyFill="1" applyBorder="1" applyAlignment="1">
      <alignment horizontal="center" wrapText="1"/>
    </xf>
    <xf numFmtId="2" fontId="1" fillId="24" borderId="68" xfId="0" applyNumberFormat="1" applyFont="1" applyFill="1" applyBorder="1" applyAlignment="1">
      <alignment horizontal="center"/>
    </xf>
    <xf numFmtId="2" fontId="1" fillId="24" borderId="71" xfId="0" applyNumberFormat="1" applyFont="1" applyFill="1" applyBorder="1" applyAlignment="1">
      <alignment horizontal="center"/>
    </xf>
    <xf numFmtId="2" fontId="1" fillId="24" borderId="70" xfId="0" applyNumberFormat="1" applyFont="1" applyFill="1" applyBorder="1" applyAlignment="1">
      <alignment horizontal="center"/>
    </xf>
    <xf numFmtId="4" fontId="1" fillId="24" borderId="62" xfId="0" applyNumberFormat="1" applyFont="1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vertical="center" wrapText="1"/>
    </xf>
    <xf numFmtId="4" fontId="1" fillId="24" borderId="87" xfId="0" applyNumberFormat="1" applyFont="1" applyFill="1" applyBorder="1" applyAlignment="1">
      <alignment horizontal="center" wrapText="1"/>
    </xf>
    <xf numFmtId="4" fontId="1" fillId="24" borderId="50" xfId="0" applyNumberFormat="1" applyFont="1" applyFill="1" applyBorder="1" applyAlignment="1">
      <alignment horizontal="center" wrapText="1"/>
    </xf>
    <xf numFmtId="4" fontId="1" fillId="24" borderId="45" xfId="0" applyNumberFormat="1" applyFont="1" applyFill="1" applyBorder="1" applyAlignment="1">
      <alignment horizontal="center" wrapText="1"/>
    </xf>
    <xf numFmtId="0" fontId="0" fillId="24" borderId="62" xfId="0" applyFill="1" applyBorder="1" applyAlignment="1">
      <alignment horizont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87" xfId="0" applyNumberFormat="1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 wrapText="1"/>
    </xf>
    <xf numFmtId="4" fontId="1" fillId="0" borderId="45" xfId="0" applyNumberFormat="1" applyFont="1" applyBorder="1" applyAlignment="1">
      <alignment horizontal="center" wrapText="1"/>
    </xf>
    <xf numFmtId="4" fontId="1" fillId="0" borderId="42" xfId="0" applyNumberFormat="1" applyFont="1" applyBorder="1" applyAlignment="1">
      <alignment horizontal="center" wrapText="1"/>
    </xf>
    <xf numFmtId="4" fontId="1" fillId="0" borderId="67" xfId="0" applyNumberFormat="1" applyFont="1" applyBorder="1" applyAlignment="1">
      <alignment horizontal="center" wrapText="1"/>
    </xf>
    <xf numFmtId="4" fontId="1" fillId="0" borderId="47" xfId="0" applyNumberFormat="1" applyFont="1" applyBorder="1" applyAlignment="1">
      <alignment horizontal="center" wrapText="1"/>
    </xf>
    <xf numFmtId="4" fontId="1" fillId="0" borderId="83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52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" fillId="0" borderId="87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2" fontId="1" fillId="24" borderId="85" xfId="0" applyNumberFormat="1" applyFont="1" applyFill="1" applyBorder="1" applyAlignment="1">
      <alignment horizontal="center" wrapText="1"/>
    </xf>
    <xf numFmtId="2" fontId="1" fillId="24" borderId="61" xfId="0" applyNumberFormat="1" applyFont="1" applyFill="1" applyBorder="1" applyAlignment="1">
      <alignment horizontal="center" wrapText="1"/>
    </xf>
    <xf numFmtId="0" fontId="0" fillId="24" borderId="61" xfId="0" applyFill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4" fontId="3" fillId="24" borderId="85" xfId="0" applyNumberFormat="1" applyFont="1" applyFill="1" applyBorder="1" applyAlignment="1">
      <alignment horizontal="center" wrapText="1"/>
    </xf>
    <xf numFmtId="4" fontId="3" fillId="24" borderId="61" xfId="0" applyNumberFormat="1" applyFont="1" applyFill="1" applyBorder="1" applyAlignment="1">
      <alignment horizontal="center" wrapText="1"/>
    </xf>
    <xf numFmtId="4" fontId="1" fillId="24" borderId="85" xfId="0" applyNumberFormat="1" applyFont="1" applyFill="1" applyBorder="1" applyAlignment="1">
      <alignment horizontal="center" wrapText="1"/>
    </xf>
    <xf numFmtId="4" fontId="1" fillId="24" borderId="61" xfId="0" applyNumberFormat="1" applyFont="1" applyFill="1" applyBorder="1" applyAlignment="1">
      <alignment horizontal="center" wrapText="1"/>
    </xf>
    <xf numFmtId="4" fontId="0" fillId="24" borderId="28" xfId="0" applyNumberFormat="1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4" fontId="0" fillId="24" borderId="25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24" borderId="86" xfId="0" applyFont="1" applyFill="1" applyBorder="1" applyAlignment="1">
      <alignment horizontal="center" wrapText="1"/>
    </xf>
    <xf numFmtId="0" fontId="1" fillId="24" borderId="67" xfId="0" applyFont="1" applyFill="1" applyBorder="1" applyAlignment="1">
      <alignment horizontal="center" wrapText="1"/>
    </xf>
    <xf numFmtId="0" fontId="1" fillId="24" borderId="85" xfId="0" applyFont="1" applyFill="1" applyBorder="1" applyAlignment="1">
      <alignment horizontal="center"/>
    </xf>
    <xf numFmtId="0" fontId="1" fillId="24" borderId="62" xfId="0" applyFont="1" applyFill="1" applyBorder="1" applyAlignment="1">
      <alignment horizontal="center"/>
    </xf>
    <xf numFmtId="4" fontId="0" fillId="0" borderId="78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0" borderId="87" xfId="0" applyNumberFormat="1" applyFont="1" applyBorder="1" applyAlignment="1">
      <alignment horizontal="center"/>
    </xf>
    <xf numFmtId="4" fontId="0" fillId="0" borderId="50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0" fontId="1" fillId="24" borderId="85" xfId="0" applyFont="1" applyFill="1" applyBorder="1" applyAlignment="1">
      <alignment horizontal="center" wrapText="1"/>
    </xf>
    <xf numFmtId="0" fontId="1" fillId="24" borderId="61" xfId="0" applyFont="1" applyFill="1" applyBorder="1" applyAlignment="1">
      <alignment horizontal="center" wrapText="1"/>
    </xf>
    <xf numFmtId="0" fontId="1" fillId="24" borderId="62" xfId="0" applyFont="1" applyFill="1" applyBorder="1" applyAlignment="1">
      <alignment horizontal="center" wrapText="1"/>
    </xf>
    <xf numFmtId="0" fontId="1" fillId="24" borderId="61" xfId="0" applyFont="1" applyFill="1" applyBorder="1" applyAlignment="1">
      <alignment horizontal="center"/>
    </xf>
    <xf numFmtId="4" fontId="0" fillId="24" borderId="45" xfId="0" applyNumberFormat="1" applyFont="1" applyFill="1" applyBorder="1" applyAlignment="1">
      <alignment horizontal="center"/>
    </xf>
    <xf numFmtId="4" fontId="0" fillId="24" borderId="42" xfId="0" applyNumberFormat="1" applyFont="1" applyFill="1" applyBorder="1" applyAlignment="1">
      <alignment horizontal="center"/>
    </xf>
    <xf numFmtId="4" fontId="0" fillId="24" borderId="67" xfId="0" applyNumberFormat="1" applyFont="1" applyFill="1" applyBorder="1" applyAlignment="1">
      <alignment horizontal="center"/>
    </xf>
    <xf numFmtId="4" fontId="0" fillId="24" borderId="47" xfId="0" applyNumberFormat="1" applyFont="1" applyFill="1" applyBorder="1" applyAlignment="1">
      <alignment horizontal="center"/>
    </xf>
    <xf numFmtId="4" fontId="2" fillId="4" borderId="79" xfId="0" applyNumberFormat="1" applyFont="1" applyFill="1" applyBorder="1" applyAlignment="1">
      <alignment horizontal="center"/>
    </xf>
    <xf numFmtId="0" fontId="2" fillId="4" borderId="80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 wrapText="1"/>
    </xf>
    <xf numFmtId="0" fontId="8" fillId="4" borderId="55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55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 wrapText="1"/>
    </xf>
    <xf numFmtId="4" fontId="11" fillId="0" borderId="7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24" borderId="45" xfId="0" applyFont="1" applyFill="1" applyBorder="1" applyAlignment="1">
      <alignment horizontal="center" wrapText="1"/>
    </xf>
    <xf numFmtId="4" fontId="0" fillId="0" borderId="45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85" xfId="0" applyNumberFormat="1" applyFont="1" applyBorder="1" applyAlignment="1">
      <alignment horizontal="center" wrapText="1"/>
    </xf>
    <xf numFmtId="4" fontId="1" fillId="0" borderId="61" xfId="0" applyNumberFormat="1" applyFont="1" applyBorder="1" applyAlignment="1">
      <alignment horizontal="center" wrapText="1"/>
    </xf>
    <xf numFmtId="2" fontId="1" fillId="0" borderId="85" xfId="0" applyNumberFormat="1" applyFont="1" applyBorder="1" applyAlignment="1">
      <alignment horizontal="center" wrapText="1"/>
    </xf>
    <xf numFmtId="2" fontId="1" fillId="0" borderId="61" xfId="0" applyNumberFormat="1" applyFont="1" applyBorder="1" applyAlignment="1">
      <alignment horizontal="center" wrapText="1"/>
    </xf>
    <xf numFmtId="4" fontId="2" fillId="4" borderId="67" xfId="0" applyNumberFormat="1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6" fillId="4" borderId="54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6" fillId="4" borderId="84" xfId="0" applyFont="1" applyFill="1" applyBorder="1" applyAlignment="1">
      <alignment horizontal="center" vertical="center" wrapText="1"/>
    </xf>
    <xf numFmtId="0" fontId="26" fillId="4" borderId="89" xfId="0" applyFont="1" applyFill="1" applyBorder="1" applyAlignment="1">
      <alignment horizontal="center" vertical="center" wrapText="1"/>
    </xf>
    <xf numFmtId="0" fontId="26" fillId="4" borderId="60" xfId="0" applyFont="1" applyFill="1" applyBorder="1" applyAlignment="1">
      <alignment horizontal="center" vertical="center" wrapText="1"/>
    </xf>
    <xf numFmtId="0" fontId="26" fillId="4" borderId="59" xfId="0" applyFont="1" applyFill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4" fontId="25" fillId="0" borderId="27" xfId="0" applyNumberFormat="1" applyFont="1" applyFill="1" applyBorder="1" applyAlignment="1">
      <alignment horizontal="center" vertical="center"/>
    </xf>
    <xf numFmtId="4" fontId="25" fillId="0" borderId="77" xfId="0" applyNumberFormat="1" applyFont="1" applyFill="1" applyBorder="1" applyAlignment="1">
      <alignment horizontal="center" vertical="center"/>
    </xf>
    <xf numFmtId="4" fontId="25" fillId="0" borderId="35" xfId="0" applyNumberFormat="1" applyFont="1" applyFill="1" applyBorder="1" applyAlignment="1">
      <alignment horizontal="center" vertical="center"/>
    </xf>
    <xf numFmtId="4" fontId="25" fillId="0" borderId="39" xfId="0" applyNumberFormat="1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26" fillId="4" borderId="65" xfId="0" applyNumberFormat="1" applyFont="1" applyFill="1" applyBorder="1" applyAlignment="1">
      <alignment horizontal="center" vertical="center"/>
    </xf>
    <xf numFmtId="4" fontId="26" fillId="4" borderId="88" xfId="0" applyNumberFormat="1" applyFont="1" applyFill="1" applyBorder="1" applyAlignment="1">
      <alignment horizontal="center" vertical="center"/>
    </xf>
    <xf numFmtId="4" fontId="21" fillId="26" borderId="79" xfId="0" applyNumberFormat="1" applyFont="1" applyFill="1" applyBorder="1" applyAlignment="1">
      <alignment horizontal="center"/>
    </xf>
    <xf numFmtId="0" fontId="21" fillId="26" borderId="80" xfId="0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1" fillId="0" borderId="85" xfId="0" applyNumberFormat="1" applyFont="1" applyFill="1" applyBorder="1" applyAlignment="1">
      <alignment horizontal="center"/>
    </xf>
    <xf numFmtId="4" fontId="1" fillId="0" borderId="61" xfId="0" applyNumberFormat="1" applyFont="1" applyFill="1" applyBorder="1" applyAlignment="1">
      <alignment horizontal="center"/>
    </xf>
    <xf numFmtId="4" fontId="1" fillId="0" borderId="62" xfId="0" applyNumberFormat="1" applyFont="1" applyFill="1" applyBorder="1" applyAlignment="1">
      <alignment horizontal="center"/>
    </xf>
    <xf numFmtId="4" fontId="3" fillId="0" borderId="69" xfId="0" applyNumberFormat="1" applyFont="1" applyFill="1" applyBorder="1" applyAlignment="1">
      <alignment horizontal="center"/>
    </xf>
    <xf numFmtId="4" fontId="3" fillId="0" borderId="61" xfId="0" applyNumberFormat="1" applyFont="1" applyFill="1" applyBorder="1" applyAlignment="1">
      <alignment horizontal="center"/>
    </xf>
    <xf numFmtId="2" fontId="9" fillId="0" borderId="85" xfId="0" applyNumberFormat="1" applyFont="1" applyFill="1" applyBorder="1" applyAlignment="1">
      <alignment horizontal="center" wrapText="1"/>
    </xf>
    <xf numFmtId="2" fontId="9" fillId="0" borderId="61" xfId="0" applyNumberFormat="1" applyFont="1" applyFill="1" applyBorder="1" applyAlignment="1">
      <alignment horizontal="center" wrapText="1"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4" fontId="10" fillId="0" borderId="85" xfId="0" applyNumberFormat="1" applyFont="1" applyFill="1" applyBorder="1" applyAlignment="1">
      <alignment horizontal="center" wrapText="1"/>
    </xf>
    <xf numFmtId="4" fontId="10" fillId="0" borderId="62" xfId="0" applyNumberFormat="1" applyFont="1" applyFill="1" applyBorder="1" applyAlignment="1">
      <alignment horizontal="center" wrapText="1"/>
    </xf>
    <xf numFmtId="4" fontId="3" fillId="0" borderId="85" xfId="0" applyNumberFormat="1" applyFont="1" applyFill="1" applyBorder="1" applyAlignment="1">
      <alignment horizontal="center"/>
    </xf>
    <xf numFmtId="4" fontId="3" fillId="0" borderId="62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 wrapText="1"/>
    </xf>
    <xf numFmtId="4" fontId="0" fillId="0" borderId="69" xfId="0" applyNumberFormat="1" applyFont="1" applyFill="1" applyBorder="1" applyAlignment="1">
      <alignment horizontal="center" wrapText="1"/>
    </xf>
    <xf numFmtId="4" fontId="0" fillId="0" borderId="62" xfId="0" applyNumberFormat="1" applyFont="1" applyFill="1" applyBorder="1" applyAlignment="1">
      <alignment horizontal="center" wrapText="1"/>
    </xf>
    <xf numFmtId="0" fontId="0" fillId="0" borderId="67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4" fontId="3" fillId="0" borderId="87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/>
    </xf>
    <xf numFmtId="4" fontId="2" fillId="0" borderId="83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52" xfId="0" applyNumberFormat="1" applyFont="1" applyFill="1" applyBorder="1" applyAlignment="1">
      <alignment horizontal="center" wrapText="1"/>
    </xf>
    <xf numFmtId="4" fontId="3" fillId="0" borderId="83" xfId="0" applyNumberFormat="1" applyFont="1" applyFill="1" applyBorder="1" applyAlignment="1">
      <alignment horizontal="center" wrapText="1"/>
    </xf>
    <xf numFmtId="4" fontId="3" fillId="0" borderId="52" xfId="0" applyNumberFormat="1" applyFont="1" applyFill="1" applyBorder="1" applyAlignment="1">
      <alignment horizontal="center" wrapText="1"/>
    </xf>
    <xf numFmtId="4" fontId="1" fillId="0" borderId="8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82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2" fillId="0" borderId="50" xfId="0" applyNumberFormat="1" applyFont="1" applyFill="1" applyBorder="1" applyAlignment="1">
      <alignment horizontal="center" wrapText="1"/>
    </xf>
    <xf numFmtId="4" fontId="2" fillId="0" borderId="42" xfId="0" applyNumberFormat="1" applyFont="1" applyFill="1" applyBorder="1" applyAlignment="1">
      <alignment horizontal="center" wrapText="1"/>
    </xf>
    <xf numFmtId="4" fontId="2" fillId="0" borderId="47" xfId="0" applyNumberFormat="1" applyFont="1" applyFill="1" applyBorder="1" applyAlignment="1">
      <alignment horizontal="center" wrapText="1"/>
    </xf>
    <xf numFmtId="2" fontId="9" fillId="0" borderId="62" xfId="0" applyNumberFormat="1" applyFont="1" applyFill="1" applyBorder="1" applyAlignment="1">
      <alignment horizontal="center" wrapText="1"/>
    </xf>
    <xf numFmtId="4" fontId="9" fillId="24" borderId="85" xfId="0" applyNumberFormat="1" applyFont="1" applyFill="1" applyBorder="1" applyAlignment="1">
      <alignment horizontal="center" wrapText="1"/>
    </xf>
    <xf numFmtId="4" fontId="9" fillId="24" borderId="61" xfId="0" applyNumberFormat="1" applyFont="1" applyFill="1" applyBorder="1" applyAlignment="1">
      <alignment horizontal="center" wrapText="1"/>
    </xf>
    <xf numFmtId="4" fontId="9" fillId="24" borderId="62" xfId="0" applyNumberFormat="1" applyFont="1" applyFill="1" applyBorder="1" applyAlignment="1">
      <alignment horizontal="center" wrapText="1"/>
    </xf>
    <xf numFmtId="4" fontId="9" fillId="0" borderId="85" xfId="0" applyNumberFormat="1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4" fontId="9" fillId="0" borderId="61" xfId="0" applyNumberFormat="1" applyFont="1" applyFill="1" applyBorder="1" applyAlignment="1">
      <alignment horizontal="center" wrapText="1"/>
    </xf>
    <xf numFmtId="4" fontId="9" fillId="0" borderId="62" xfId="0" applyNumberFormat="1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61" xfId="0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wrapText="1"/>
    </xf>
    <xf numFmtId="4" fontId="5" fillId="0" borderId="85" xfId="0" applyNumberFormat="1" applyFont="1" applyFill="1" applyBorder="1" applyAlignment="1">
      <alignment horizontal="center" wrapText="1"/>
    </xf>
    <xf numFmtId="4" fontId="5" fillId="0" borderId="61" xfId="0" applyNumberFormat="1" applyFont="1" applyFill="1" applyBorder="1" applyAlignment="1">
      <alignment horizontal="center" wrapText="1"/>
    </xf>
    <xf numFmtId="4" fontId="5" fillId="0" borderId="62" xfId="0" applyNumberFormat="1" applyFont="1" applyFill="1" applyBorder="1" applyAlignment="1">
      <alignment horizontal="center" wrapText="1"/>
    </xf>
    <xf numFmtId="2" fontId="0" fillId="0" borderId="68" xfId="0" applyNumberFormat="1" applyFont="1" applyFill="1" applyBorder="1" applyAlignment="1">
      <alignment horizontal="center"/>
    </xf>
    <xf numFmtId="2" fontId="0" fillId="0" borderId="70" xfId="0" applyNumberFormat="1" applyFon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2" fontId="0" fillId="0" borderId="70" xfId="0" applyNumberFormat="1" applyFill="1" applyBorder="1" applyAlignment="1">
      <alignment horizontal="center"/>
    </xf>
    <xf numFmtId="2" fontId="9" fillId="0" borderId="85" xfId="0" applyNumberFormat="1" applyFont="1" applyFill="1" applyBorder="1" applyAlignment="1">
      <alignment horizontal="center"/>
    </xf>
    <xf numFmtId="2" fontId="9" fillId="0" borderId="62" xfId="0" applyNumberFormat="1" applyFont="1" applyFill="1" applyBorder="1" applyAlignment="1">
      <alignment horizontal="center"/>
    </xf>
    <xf numFmtId="2" fontId="11" fillId="0" borderId="68" xfId="0" applyNumberFormat="1" applyFont="1" applyFill="1" applyBorder="1" applyAlignment="1">
      <alignment horizontal="center"/>
    </xf>
    <xf numFmtId="2" fontId="11" fillId="0" borderId="70" xfId="0" applyNumberFormat="1" applyFont="1" applyFill="1" applyBorder="1" applyAlignment="1">
      <alignment horizontal="center"/>
    </xf>
    <xf numFmtId="2" fontId="0" fillId="0" borderId="66" xfId="0" applyNumberFormat="1" applyFont="1" applyFill="1" applyBorder="1" applyAlignment="1">
      <alignment horizontal="center"/>
    </xf>
    <xf numFmtId="2" fontId="0" fillId="0" borderId="69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 wrapText="1"/>
    </xf>
    <xf numFmtId="4" fontId="48" fillId="0" borderId="87" xfId="0" applyNumberFormat="1" applyFont="1" applyFill="1" applyBorder="1" applyAlignment="1">
      <alignment horizontal="center" wrapText="1"/>
    </xf>
    <xf numFmtId="4" fontId="48" fillId="0" borderId="45" xfId="0" applyNumberFormat="1" applyFont="1" applyFill="1" applyBorder="1" applyAlignment="1">
      <alignment horizontal="center" wrapText="1"/>
    </xf>
    <xf numFmtId="4" fontId="48" fillId="0" borderId="67" xfId="0" applyNumberFormat="1" applyFont="1" applyFill="1" applyBorder="1" applyAlignment="1">
      <alignment horizontal="center" wrapText="1"/>
    </xf>
    <xf numFmtId="4" fontId="10" fillId="0" borderId="61" xfId="0" applyNumberFormat="1" applyFont="1" applyFill="1" applyBorder="1" applyAlignment="1">
      <alignment horizontal="center" wrapText="1"/>
    </xf>
    <xf numFmtId="4" fontId="10" fillId="0" borderId="87" xfId="0" applyNumberFormat="1" applyFont="1" applyFill="1" applyBorder="1" applyAlignment="1">
      <alignment horizontal="center"/>
    </xf>
    <xf numFmtId="4" fontId="10" fillId="0" borderId="67" xfId="0" applyNumberFormat="1" applyFont="1" applyFill="1" applyBorder="1" applyAlignment="1">
      <alignment horizontal="center"/>
    </xf>
    <xf numFmtId="4" fontId="9" fillId="0" borderId="87" xfId="0" applyNumberFormat="1" applyFont="1" applyFill="1" applyBorder="1" applyAlignment="1">
      <alignment horizontal="center" wrapText="1"/>
    </xf>
    <xf numFmtId="4" fontId="9" fillId="0" borderId="50" xfId="0" applyNumberFormat="1" applyFont="1" applyFill="1" applyBorder="1" applyAlignment="1">
      <alignment horizontal="center" wrapText="1"/>
    </xf>
    <xf numFmtId="4" fontId="9" fillId="0" borderId="45" xfId="0" applyNumberFormat="1" applyFont="1" applyFill="1" applyBorder="1" applyAlignment="1">
      <alignment horizontal="center" wrapText="1"/>
    </xf>
    <xf numFmtId="4" fontId="9" fillId="0" borderId="42" xfId="0" applyNumberFormat="1" applyFont="1" applyFill="1" applyBorder="1" applyAlignment="1">
      <alignment horizontal="center" wrapText="1"/>
    </xf>
    <xf numFmtId="0" fontId="11" fillId="24" borderId="61" xfId="0" applyFont="1" applyFill="1" applyBorder="1" applyAlignment="1">
      <alignment horizontal="center" wrapText="1"/>
    </xf>
    <xf numFmtId="4" fontId="9" fillId="0" borderId="78" xfId="0" applyNumberFormat="1" applyFont="1" applyFill="1" applyBorder="1" applyAlignment="1">
      <alignment horizontal="center"/>
    </xf>
    <xf numFmtId="4" fontId="9" fillId="0" borderId="48" xfId="0" applyNumberFormat="1" applyFont="1" applyFill="1" applyBorder="1" applyAlignment="1">
      <alignment horizontal="center"/>
    </xf>
    <xf numFmtId="4" fontId="9" fillId="0" borderId="83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52" xfId="0" applyNumberFormat="1" applyFont="1" applyFill="1" applyBorder="1" applyAlignment="1">
      <alignment horizontal="center" wrapText="1"/>
    </xf>
    <xf numFmtId="4" fontId="9" fillId="0" borderId="87" xfId="0" applyNumberFormat="1" applyFont="1" applyFill="1" applyBorder="1" applyAlignment="1">
      <alignment horizontal="center"/>
    </xf>
    <xf numFmtId="4" fontId="9" fillId="0" borderId="50" xfId="0" applyNumberFormat="1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 horizontal="center"/>
    </xf>
    <xf numFmtId="4" fontId="9" fillId="0" borderId="67" xfId="0" applyNumberFormat="1" applyFont="1" applyFill="1" applyBorder="1" applyAlignment="1">
      <alignment horizontal="center"/>
    </xf>
    <xf numFmtId="4" fontId="9" fillId="0" borderId="47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2" fontId="0" fillId="0" borderId="85" xfId="0" applyNumberFormat="1" applyFill="1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" fontId="5" fillId="0" borderId="69" xfId="0" applyNumberFormat="1" applyFont="1" applyFill="1" applyBorder="1" applyAlignment="1">
      <alignment horizontal="center" wrapText="1"/>
    </xf>
    <xf numFmtId="0" fontId="0" fillId="0" borderId="62" xfId="0" applyFill="1" applyBorder="1" applyAlignment="1">
      <alignment horizontal="center"/>
    </xf>
    <xf numFmtId="2" fontId="0" fillId="0" borderId="66" xfId="0" applyNumberFormat="1" applyFill="1" applyBorder="1" applyAlignment="1">
      <alignment horizontal="center"/>
    </xf>
    <xf numFmtId="2" fontId="1" fillId="0" borderId="68" xfId="0" applyNumberFormat="1" applyFont="1" applyFill="1" applyBorder="1" applyAlignment="1">
      <alignment horizontal="center"/>
    </xf>
    <xf numFmtId="2" fontId="1" fillId="0" borderId="71" xfId="0" applyNumberFormat="1" applyFont="1" applyFill="1" applyBorder="1" applyAlignment="1">
      <alignment horizontal="center"/>
    </xf>
    <xf numFmtId="2" fontId="1" fillId="0" borderId="70" xfId="0" applyNumberFormat="1" applyFont="1" applyFill="1" applyBorder="1" applyAlignment="1">
      <alignment horizontal="center"/>
    </xf>
    <xf numFmtId="4" fontId="1" fillId="0" borderId="68" xfId="0" applyNumberFormat="1" applyFont="1" applyFill="1" applyBorder="1" applyAlignment="1">
      <alignment horizontal="center"/>
    </xf>
    <xf numFmtId="4" fontId="1" fillId="0" borderId="70" xfId="0" applyNumberFormat="1" applyFont="1" applyFill="1" applyBorder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71" xfId="0" applyNumberFormat="1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2" fontId="1" fillId="0" borderId="66" xfId="0" applyNumberFormat="1" applyFont="1" applyFill="1" applyBorder="1" applyAlignment="1">
      <alignment horizontal="center"/>
    </xf>
    <xf numFmtId="2" fontId="0" fillId="0" borderId="61" xfId="0" applyNumberFormat="1" applyFill="1" applyBorder="1" applyAlignment="1">
      <alignment horizontal="center"/>
    </xf>
    <xf numFmtId="4" fontId="9" fillId="0" borderId="66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85" xfId="0" applyNumberFormat="1" applyFont="1" applyFill="1" applyBorder="1" applyAlignment="1">
      <alignment horizontal="center"/>
    </xf>
    <xf numFmtId="4" fontId="9" fillId="0" borderId="61" xfId="0" applyNumberFormat="1" applyFont="1" applyFill="1" applyBorder="1" applyAlignment="1">
      <alignment horizontal="center"/>
    </xf>
    <xf numFmtId="4" fontId="1" fillId="0" borderId="71" xfId="0" applyNumberFormat="1" applyFont="1" applyFill="1" applyBorder="1" applyAlignment="1">
      <alignment horizontal="center"/>
    </xf>
    <xf numFmtId="4" fontId="9" fillId="0" borderId="62" xfId="0" applyNumberFormat="1" applyFont="1" applyFill="1" applyBorder="1" applyAlignment="1">
      <alignment horizontal="center"/>
    </xf>
    <xf numFmtId="4" fontId="1" fillId="0" borderId="69" xfId="0" applyNumberFormat="1" applyFont="1" applyBorder="1" applyAlignment="1">
      <alignment horizontal="center"/>
    </xf>
    <xf numFmtId="4" fontId="1" fillId="0" borderId="66" xfId="0" applyNumberFormat="1" applyFont="1" applyBorder="1" applyAlignment="1">
      <alignment horizontal="center"/>
    </xf>
    <xf numFmtId="2" fontId="1" fillId="0" borderId="69" xfId="0" applyNumberFormat="1" applyFont="1" applyFill="1" applyBorder="1" applyAlignment="1">
      <alignment horizontal="center"/>
    </xf>
    <xf numFmtId="4" fontId="1" fillId="0" borderId="66" xfId="0" applyNumberFormat="1" applyFont="1" applyFill="1" applyBorder="1" applyAlignment="1">
      <alignment horizontal="center"/>
    </xf>
    <xf numFmtId="4" fontId="1" fillId="0" borderId="85" xfId="0" applyNumberFormat="1" applyFont="1" applyBorder="1" applyAlignment="1">
      <alignment horizontal="center"/>
    </xf>
    <xf numFmtId="4" fontId="1" fillId="0" borderId="61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4" fontId="9" fillId="0" borderId="71" xfId="0" applyNumberFormat="1" applyFont="1" applyFill="1" applyBorder="1" applyAlignment="1">
      <alignment horizontal="center"/>
    </xf>
    <xf numFmtId="2" fontId="9" fillId="0" borderId="68" xfId="0" applyNumberFormat="1" applyFont="1" applyFill="1" applyBorder="1" applyAlignment="1">
      <alignment horizontal="center"/>
    </xf>
    <xf numFmtId="2" fontId="9" fillId="0" borderId="71" xfId="0" applyNumberFormat="1" applyFont="1" applyFill="1" applyBorder="1" applyAlignment="1">
      <alignment horizontal="center"/>
    </xf>
    <xf numFmtId="2" fontId="9" fillId="0" borderId="70" xfId="0" applyNumberFormat="1" applyFont="1" applyFill="1" applyBorder="1" applyAlignment="1">
      <alignment horizontal="center"/>
    </xf>
    <xf numFmtId="0" fontId="3" fillId="4" borderId="79" xfId="0" applyFont="1" applyFill="1" applyBorder="1" applyAlignment="1">
      <alignment horizontal="center" wrapText="1"/>
    </xf>
    <xf numFmtId="0" fontId="3" fillId="4" borderId="81" xfId="0" applyFont="1" applyFill="1" applyBorder="1" applyAlignment="1">
      <alignment horizontal="center" wrapText="1"/>
    </xf>
    <xf numFmtId="0" fontId="3" fillId="4" borderId="8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/>
    </xf>
    <xf numFmtId="0" fontId="9" fillId="25" borderId="85" xfId="0" applyFont="1" applyFill="1" applyBorder="1" applyAlignment="1">
      <alignment horizontal="center" vertical="center" wrapText="1"/>
    </xf>
    <xf numFmtId="0" fontId="9" fillId="25" borderId="62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4" fontId="3" fillId="4" borderId="68" xfId="0" applyNumberFormat="1" applyFont="1" applyFill="1" applyBorder="1" applyAlignment="1">
      <alignment horizontal="center" vertical="center" wrapText="1"/>
    </xf>
    <xf numFmtId="4" fontId="3" fillId="4" borderId="70" xfId="0" applyNumberFormat="1" applyFont="1" applyFill="1" applyBorder="1" applyAlignment="1">
      <alignment horizontal="center" vertical="center" wrapText="1"/>
    </xf>
    <xf numFmtId="4" fontId="9" fillId="24" borderId="85" xfId="0" applyNumberFormat="1" applyFont="1" applyFill="1" applyBorder="1" applyAlignment="1">
      <alignment horizontal="center"/>
    </xf>
    <xf numFmtId="4" fontId="9" fillId="24" borderId="62" xfId="0" applyNumberFormat="1" applyFont="1" applyFill="1" applyBorder="1" applyAlignment="1">
      <alignment horizontal="center"/>
    </xf>
    <xf numFmtId="2" fontId="0" fillId="0" borderId="85" xfId="0" applyNumberFormat="1" applyFont="1" applyFill="1" applyBorder="1" applyAlignment="1">
      <alignment horizontal="center"/>
    </xf>
    <xf numFmtId="2" fontId="0" fillId="0" borderId="62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67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4" fontId="2" fillId="0" borderId="87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6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1" fillId="0" borderId="68" xfId="0" applyNumberFormat="1" applyFont="1" applyFill="1" applyBorder="1" applyAlignment="1">
      <alignment horizontal="center" wrapText="1"/>
    </xf>
    <xf numFmtId="2" fontId="1" fillId="0" borderId="70" xfId="0" applyNumberFormat="1" applyFont="1" applyFill="1" applyBorder="1" applyAlignment="1">
      <alignment horizontal="center" wrapText="1"/>
    </xf>
    <xf numFmtId="4" fontId="3" fillId="0" borderId="83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62" xfId="0" applyFont="1" applyFill="1" applyBorder="1" applyAlignment="1">
      <alignment horizontal="center" wrapText="1"/>
    </xf>
    <xf numFmtId="4" fontId="1" fillId="0" borderId="68" xfId="0" applyNumberFormat="1" applyFont="1" applyFill="1" applyBorder="1" applyAlignment="1">
      <alignment horizontal="center" wrapText="1"/>
    </xf>
    <xf numFmtId="4" fontId="1" fillId="0" borderId="70" xfId="0" applyNumberFormat="1" applyFont="1" applyFill="1" applyBorder="1" applyAlignment="1">
      <alignment horizontal="center" wrapText="1"/>
    </xf>
    <xf numFmtId="4" fontId="2" fillId="0" borderId="87" xfId="0" applyNumberFormat="1" applyFont="1" applyFill="1" applyBorder="1" applyAlignment="1">
      <alignment horizontal="center" wrapText="1"/>
    </xf>
    <xf numFmtId="4" fontId="2" fillId="0" borderId="45" xfId="0" applyNumberFormat="1" applyFont="1" applyFill="1" applyBorder="1" applyAlignment="1">
      <alignment horizontal="center" wrapText="1"/>
    </xf>
    <xf numFmtId="4" fontId="2" fillId="0" borderId="67" xfId="0" applyNumberFormat="1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" fontId="1" fillId="24" borderId="28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4" fontId="2" fillId="0" borderId="69" xfId="0" applyNumberFormat="1" applyFont="1" applyBorder="1" applyAlignment="1">
      <alignment horizontal="center" wrapText="1"/>
    </xf>
    <xf numFmtId="0" fontId="0" fillId="0" borderId="50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4" fontId="3" fillId="0" borderId="85" xfId="0" applyNumberFormat="1" applyFont="1" applyBorder="1" applyAlignment="1">
      <alignment horizontal="center" wrapText="1"/>
    </xf>
    <xf numFmtId="4" fontId="3" fillId="0" borderId="61" xfId="0" applyNumberFormat="1" applyFont="1" applyBorder="1" applyAlignment="1">
      <alignment horizontal="center" wrapText="1"/>
    </xf>
    <xf numFmtId="4" fontId="3" fillId="0" borderId="62" xfId="0" applyNumberFormat="1" applyFont="1" applyBorder="1" applyAlignment="1">
      <alignment horizontal="center" wrapText="1"/>
    </xf>
    <xf numFmtId="4" fontId="1" fillId="0" borderId="78" xfId="0" applyNumberFormat="1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9" fillId="25" borderId="61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0" fontId="11" fillId="25" borderId="6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4" fontId="16" fillId="0" borderId="87" xfId="0" applyNumberFormat="1" applyFont="1" applyFill="1" applyBorder="1" applyAlignment="1">
      <alignment horizontal="center" wrapText="1"/>
    </xf>
    <xf numFmtId="4" fontId="16" fillId="0" borderId="50" xfId="0" applyNumberFormat="1" applyFont="1" applyFill="1" applyBorder="1" applyAlignment="1">
      <alignment horizontal="center" wrapText="1"/>
    </xf>
    <xf numFmtId="4" fontId="16" fillId="0" borderId="45" xfId="0" applyNumberFormat="1" applyFont="1" applyFill="1" applyBorder="1" applyAlignment="1">
      <alignment horizontal="center" wrapText="1"/>
    </xf>
    <xf numFmtId="4" fontId="16" fillId="0" borderId="42" xfId="0" applyNumberFormat="1" applyFont="1" applyFill="1" applyBorder="1" applyAlignment="1">
      <alignment horizontal="center" wrapText="1"/>
    </xf>
    <xf numFmtId="4" fontId="16" fillId="0" borderId="67" xfId="0" applyNumberFormat="1" applyFont="1" applyFill="1" applyBorder="1" applyAlignment="1">
      <alignment horizontal="center" wrapText="1"/>
    </xf>
    <xf numFmtId="4" fontId="16" fillId="0" borderId="47" xfId="0" applyNumberFormat="1" applyFont="1" applyFill="1" applyBorder="1" applyAlignment="1">
      <alignment horizontal="center" wrapText="1"/>
    </xf>
    <xf numFmtId="4" fontId="2" fillId="0" borderId="69" xfId="0" applyNumberFormat="1" applyFont="1" applyFill="1" applyBorder="1" applyAlignment="1">
      <alignment horizontal="center" wrapText="1"/>
    </xf>
    <xf numFmtId="4" fontId="2" fillId="0" borderId="62" xfId="0" applyNumberFormat="1" applyFont="1" applyFill="1" applyBorder="1" applyAlignment="1">
      <alignment horizontal="center" wrapText="1"/>
    </xf>
    <xf numFmtId="4" fontId="2" fillId="0" borderId="61" xfId="0" applyNumberFormat="1" applyFont="1" applyFill="1" applyBorder="1" applyAlignment="1">
      <alignment horizontal="center"/>
    </xf>
    <xf numFmtId="4" fontId="3" fillId="0" borderId="87" xfId="0" applyNumberFormat="1" applyFont="1" applyFill="1" applyBorder="1" applyAlignment="1">
      <alignment horizontal="center" wrapText="1"/>
    </xf>
    <xf numFmtId="4" fontId="3" fillId="0" borderId="45" xfId="0" applyNumberFormat="1" applyFont="1" applyFill="1" applyBorder="1" applyAlignment="1">
      <alignment horizontal="center" wrapText="1"/>
    </xf>
    <xf numFmtId="4" fontId="3" fillId="0" borderId="67" xfId="0" applyNumberFormat="1" applyFont="1" applyFill="1" applyBorder="1" applyAlignment="1">
      <alignment horizontal="center" wrapText="1"/>
    </xf>
    <xf numFmtId="4" fontId="2" fillId="0" borderId="61" xfId="0" applyNumberFormat="1" applyFont="1" applyFill="1" applyBorder="1" applyAlignment="1">
      <alignment horizontal="center" wrapText="1"/>
    </xf>
    <xf numFmtId="4" fontId="3" fillId="0" borderId="69" xfId="0" applyNumberFormat="1" applyFont="1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5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/>
    </xf>
    <xf numFmtId="4" fontId="3" fillId="4" borderId="79" xfId="0" applyNumberFormat="1" applyFont="1" applyFill="1" applyBorder="1" applyAlignment="1">
      <alignment horizontal="center"/>
    </xf>
    <xf numFmtId="4" fontId="3" fillId="4" borderId="80" xfId="0" applyNumberFormat="1" applyFont="1" applyFill="1" applyBorder="1" applyAlignment="1">
      <alignment horizontal="center"/>
    </xf>
    <xf numFmtId="2" fontId="1" fillId="0" borderId="62" xfId="0" applyNumberFormat="1" applyFont="1" applyBorder="1" applyAlignment="1">
      <alignment horizontal="center" wrapText="1"/>
    </xf>
    <xf numFmtId="4" fontId="1" fillId="0" borderId="48" xfId="0" applyNumberFormat="1" applyFont="1" applyFill="1" applyBorder="1" applyAlignment="1">
      <alignment horizontal="center" wrapText="1"/>
    </xf>
    <xf numFmtId="4" fontId="1" fillId="0" borderId="6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43" fontId="3" fillId="0" borderId="85" xfId="33" applyFont="1" applyFill="1" applyBorder="1" applyAlignment="1">
      <alignment wrapText="1"/>
    </xf>
    <xf numFmtId="43" fontId="3" fillId="0" borderId="62" xfId="33" applyFont="1" applyFill="1" applyBorder="1" applyAlignment="1">
      <alignment wrapText="1"/>
    </xf>
    <xf numFmtId="0" fontId="1" fillId="24" borderId="85" xfId="0" applyFont="1" applyFill="1" applyBorder="1" applyAlignment="1">
      <alignment horizontal="center" vertical="center"/>
    </xf>
    <xf numFmtId="0" fontId="1" fillId="24" borderId="61" xfId="0" applyFont="1" applyFill="1" applyBorder="1" applyAlignment="1">
      <alignment horizontal="center" vertical="center"/>
    </xf>
    <xf numFmtId="0" fontId="1" fillId="24" borderId="6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/>
    </xf>
    <xf numFmtId="0" fontId="1" fillId="24" borderId="62" xfId="0" applyFont="1" applyFill="1" applyBorder="1" applyAlignment="1">
      <alignment horizontal="center" vertical="center" wrapText="1"/>
    </xf>
    <xf numFmtId="0" fontId="1" fillId="24" borderId="85" xfId="0" applyFont="1" applyFill="1" applyBorder="1" applyAlignment="1">
      <alignment horizontal="center" vertical="center" wrapText="1"/>
    </xf>
    <xf numFmtId="4" fontId="10" fillId="25" borderId="85" xfId="0" applyNumberFormat="1" applyFont="1" applyFill="1" applyBorder="1" applyAlignment="1">
      <alignment horizontal="center"/>
    </xf>
    <xf numFmtId="4" fontId="10" fillId="25" borderId="62" xfId="0" applyNumberFormat="1" applyFont="1" applyFill="1" applyBorder="1" applyAlignment="1">
      <alignment horizontal="center"/>
    </xf>
    <xf numFmtId="4" fontId="16" fillId="0" borderId="85" xfId="0" applyNumberFormat="1" applyFont="1" applyFill="1" applyBorder="1" applyAlignment="1">
      <alignment horizontal="center"/>
    </xf>
    <xf numFmtId="4" fontId="16" fillId="0" borderId="61" xfId="0" applyNumberFormat="1" applyFont="1" applyFill="1" applyBorder="1" applyAlignment="1">
      <alignment horizontal="center"/>
    </xf>
    <xf numFmtId="4" fontId="16" fillId="0" borderId="62" xfId="0" applyNumberFormat="1" applyFont="1" applyFill="1" applyBorder="1" applyAlignment="1">
      <alignment horizontal="center"/>
    </xf>
    <xf numFmtId="4" fontId="10" fillId="25" borderId="85" xfId="0" applyNumberFormat="1" applyFont="1" applyFill="1" applyBorder="1" applyAlignment="1">
      <alignment horizontal="center" wrapText="1"/>
    </xf>
    <xf numFmtId="4" fontId="10" fillId="25" borderId="61" xfId="0" applyNumberFormat="1" applyFont="1" applyFill="1" applyBorder="1" applyAlignment="1">
      <alignment horizontal="center" wrapText="1"/>
    </xf>
    <xf numFmtId="0" fontId="11" fillId="24" borderId="62" xfId="0" applyFont="1" applyFill="1" applyBorder="1" applyAlignment="1">
      <alignment horizontal="center" wrapText="1"/>
    </xf>
    <xf numFmtId="4" fontId="16" fillId="0" borderId="85" xfId="0" applyNumberFormat="1" applyFont="1" applyFill="1" applyBorder="1" applyAlignment="1">
      <alignment horizontal="center" wrapText="1"/>
    </xf>
    <xf numFmtId="4" fontId="16" fillId="0" borderId="61" xfId="0" applyNumberFormat="1" applyFont="1" applyFill="1" applyBorder="1" applyAlignment="1">
      <alignment horizontal="center" wrapText="1"/>
    </xf>
    <xf numFmtId="4" fontId="16" fillId="0" borderId="62" xfId="0" applyNumberFormat="1" applyFont="1" applyFill="1" applyBorder="1" applyAlignment="1">
      <alignment horizontal="center" wrapText="1"/>
    </xf>
    <xf numFmtId="4" fontId="16" fillId="0" borderId="85" xfId="0" applyNumberFormat="1" applyFont="1" applyFill="1" applyBorder="1" applyAlignment="1">
      <alignment horizontal="center" wrapText="1"/>
    </xf>
    <xf numFmtId="4" fontId="16" fillId="0" borderId="61" xfId="0" applyNumberFormat="1" applyFont="1" applyFill="1" applyBorder="1" applyAlignment="1">
      <alignment horizontal="center" wrapText="1"/>
    </xf>
    <xf numFmtId="0" fontId="0" fillId="0" borderId="62" xfId="0" applyFill="1" applyBorder="1" applyAlignment="1">
      <alignment horizontal="center" vertical="center" wrapText="1"/>
    </xf>
    <xf numFmtId="0" fontId="3" fillId="4" borderId="81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priloha_3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N\SPOL_UNF\EEA_GRANTS\TABULKY%20FM_FO\Cerpanie_reportovanie\Monitoring_priebezny\Cerpanie%20report_podrobny_konverzia_aktual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N\SPOL_UNF\EEA_GRANTS\TABULKY%20FM_FO\P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ostred"/>
      <sheetName val="Kon. prij."/>
      <sheetName val="TA"/>
      <sheetName val="Spolu"/>
      <sheetName val="Rozp. pohľ. 2008"/>
      <sheetName val="nnn"/>
      <sheetName val="Intermediary"/>
      <sheetName val="FB"/>
      <sheetName val="TA_"/>
      <sheetName val="Hárok1"/>
    </sheetNames>
    <sheetDataSet>
      <sheetData sheetId="2">
        <row r="8">
          <cell r="D8">
            <v>1447672.16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R"/>
      <sheetName val="nové projekty"/>
      <sheetName val="Hárok1"/>
    </sheetNames>
    <sheetDataSet>
      <sheetData sheetId="0">
        <row r="53">
          <cell r="E53">
            <v>17448.38</v>
          </cell>
          <cell r="F53">
            <v>17448.38</v>
          </cell>
        </row>
        <row r="54">
          <cell r="E54">
            <v>3831289.15</v>
          </cell>
          <cell r="F54">
            <v>3831289.15</v>
          </cell>
        </row>
        <row r="55">
          <cell r="E55">
            <v>112868.00936068512</v>
          </cell>
          <cell r="F55">
            <v>112868.00936068512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3:IR703"/>
  <sheetViews>
    <sheetView workbookViewId="0" topLeftCell="A1">
      <pane xSplit="2" ySplit="6" topLeftCell="C57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92" sqref="H592"/>
    </sheetView>
  </sheetViews>
  <sheetFormatPr defaultColWidth="9.140625" defaultRowHeight="12.75"/>
  <cols>
    <col min="1" max="1" width="15.00390625" style="1" customWidth="1"/>
    <col min="2" max="2" width="7.8515625" style="1" customWidth="1"/>
    <col min="3" max="3" width="11.8515625" style="1" customWidth="1"/>
    <col min="4" max="4" width="12.140625" style="1" customWidth="1"/>
    <col min="5" max="5" width="11.140625" style="295" bestFit="1" customWidth="1"/>
    <col min="6" max="6" width="11.00390625" style="295" customWidth="1"/>
    <col min="7" max="7" width="12.57421875" style="275" hidden="1" customWidth="1"/>
    <col min="8" max="9" width="11.8515625" style="1" bestFit="1" customWidth="1"/>
    <col min="10" max="10" width="10.7109375" style="1" customWidth="1"/>
    <col min="11" max="11" width="10.8515625" style="1" customWidth="1"/>
    <col min="12" max="12" width="11.57421875" style="1" customWidth="1"/>
    <col min="13" max="13" width="12.140625" style="1" customWidth="1"/>
    <col min="14" max="15" width="12.7109375" style="2" customWidth="1"/>
    <col min="16" max="16" width="11.28125" style="1" customWidth="1"/>
    <col min="17" max="17" width="9.7109375" style="1" hidden="1" customWidth="1"/>
    <col min="18" max="18" width="12.421875" style="2" hidden="1" customWidth="1"/>
    <col min="19" max="19" width="13.28125" style="1" customWidth="1"/>
    <col min="20" max="20" width="11.140625" style="1" customWidth="1"/>
    <col min="21" max="16384" width="9.140625" style="1" customWidth="1"/>
  </cols>
  <sheetData>
    <row r="1" ht="12.75"/>
    <row r="2" ht="12.75"/>
    <row r="3" spans="1:20" ht="15.75">
      <c r="A3" s="902" t="s">
        <v>326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</row>
    <row r="4" spans="1:20" ht="17.25" customHeight="1" thickBot="1">
      <c r="A4" s="2"/>
      <c r="N4" s="903" t="s">
        <v>87</v>
      </c>
      <c r="O4" s="903"/>
      <c r="P4" s="903"/>
      <c r="Q4" s="903"/>
      <c r="R4" s="903"/>
      <c r="S4" s="903"/>
      <c r="T4" s="903"/>
    </row>
    <row r="5" spans="1:252" s="4" customFormat="1" ht="30.75" customHeight="1" thickBot="1">
      <c r="A5" s="984" t="s">
        <v>0</v>
      </c>
      <c r="B5" s="984" t="s">
        <v>1</v>
      </c>
      <c r="C5" s="986" t="s">
        <v>262</v>
      </c>
      <c r="D5" s="987"/>
      <c r="E5" s="980" t="s">
        <v>197</v>
      </c>
      <c r="F5" s="981"/>
      <c r="G5" s="374"/>
      <c r="H5" s="977" t="s">
        <v>89</v>
      </c>
      <c r="I5" s="978"/>
      <c r="J5" s="978"/>
      <c r="K5" s="978"/>
      <c r="L5" s="979"/>
      <c r="M5" s="973" t="s">
        <v>98</v>
      </c>
      <c r="N5" s="973" t="s">
        <v>86</v>
      </c>
      <c r="O5" s="973" t="s">
        <v>253</v>
      </c>
      <c r="P5" s="973" t="s">
        <v>255</v>
      </c>
      <c r="Q5" s="973" t="s">
        <v>198</v>
      </c>
      <c r="R5" s="1006"/>
      <c r="S5" s="1004" t="s">
        <v>254</v>
      </c>
      <c r="T5" s="1004" t="s">
        <v>318</v>
      </c>
      <c r="U5" s="286"/>
      <c r="V5" s="286"/>
      <c r="W5" s="286"/>
      <c r="X5" s="286"/>
      <c r="Y5" s="999"/>
      <c r="Z5" s="999"/>
      <c r="AA5" s="1003"/>
      <c r="AB5" s="1003"/>
      <c r="AC5" s="1000"/>
      <c r="AD5" s="1001"/>
      <c r="AE5" s="1001"/>
      <c r="AF5" s="1002"/>
      <c r="AG5" s="999"/>
      <c r="AH5" s="999"/>
      <c r="AI5" s="999"/>
      <c r="AJ5" s="999"/>
      <c r="AK5" s="999"/>
      <c r="AL5" s="999"/>
      <c r="AM5" s="999"/>
      <c r="AN5" s="999"/>
      <c r="AO5" s="999"/>
      <c r="AP5" s="1003"/>
      <c r="AQ5" s="1003"/>
      <c r="AR5" s="1000"/>
      <c r="AS5" s="1001"/>
      <c r="AT5" s="1001"/>
      <c r="AU5" s="1002"/>
      <c r="AV5" s="999"/>
      <c r="AW5" s="999"/>
      <c r="AX5" s="999"/>
      <c r="AY5" s="999"/>
      <c r="AZ5" s="999"/>
      <c r="BA5" s="999"/>
      <c r="BB5" s="999"/>
      <c r="BC5" s="999"/>
      <c r="BD5" s="999"/>
      <c r="BE5" s="1003"/>
      <c r="BF5" s="1003"/>
      <c r="BG5" s="1000"/>
      <c r="BH5" s="1001"/>
      <c r="BI5" s="1001"/>
      <c r="BJ5" s="1002"/>
      <c r="BK5" s="999"/>
      <c r="BL5" s="999"/>
      <c r="BM5" s="999"/>
      <c r="BN5" s="999"/>
      <c r="BO5" s="999"/>
      <c r="BP5" s="999"/>
      <c r="BQ5" s="999"/>
      <c r="BR5" s="999"/>
      <c r="BS5" s="999"/>
      <c r="BT5" s="1003"/>
      <c r="BU5" s="1003"/>
      <c r="BV5" s="1000"/>
      <c r="BW5" s="1001"/>
      <c r="BX5" s="1001"/>
      <c r="BY5" s="1002"/>
      <c r="BZ5" s="999"/>
      <c r="CA5" s="999"/>
      <c r="CB5" s="999"/>
      <c r="CC5" s="999"/>
      <c r="CD5" s="999"/>
      <c r="CE5" s="999"/>
      <c r="CF5" s="999"/>
      <c r="CG5" s="999"/>
      <c r="CH5" s="999"/>
      <c r="CI5" s="1003"/>
      <c r="CJ5" s="1003"/>
      <c r="CK5" s="1000"/>
      <c r="CL5" s="1001"/>
      <c r="CM5" s="1001"/>
      <c r="CN5" s="1002"/>
      <c r="CO5" s="999"/>
      <c r="CP5" s="999"/>
      <c r="CQ5" s="999"/>
      <c r="CR5" s="999"/>
      <c r="CS5" s="999"/>
      <c r="CT5" s="999"/>
      <c r="CU5" s="999"/>
      <c r="CV5" s="999"/>
      <c r="CW5" s="999"/>
      <c r="CX5" s="1003"/>
      <c r="CY5" s="1003"/>
      <c r="CZ5" s="1000"/>
      <c r="DA5" s="1001"/>
      <c r="DB5" s="1001"/>
      <c r="DC5" s="1002"/>
      <c r="DD5" s="999"/>
      <c r="DE5" s="999"/>
      <c r="DF5" s="999"/>
      <c r="DG5" s="999"/>
      <c r="DH5" s="999"/>
      <c r="DI5" s="999"/>
      <c r="DJ5" s="999"/>
      <c r="DK5" s="999"/>
      <c r="DL5" s="999"/>
      <c r="DM5" s="1003"/>
      <c r="DN5" s="1003"/>
      <c r="DO5" s="1000"/>
      <c r="DP5" s="1001"/>
      <c r="DQ5" s="1001"/>
      <c r="DR5" s="1002"/>
      <c r="DS5" s="999"/>
      <c r="DT5" s="999"/>
      <c r="DU5" s="999"/>
      <c r="DV5" s="999"/>
      <c r="DW5" s="999"/>
      <c r="DX5" s="999"/>
      <c r="DY5" s="999"/>
      <c r="DZ5" s="999"/>
      <c r="EA5" s="999"/>
      <c r="EB5" s="1003"/>
      <c r="EC5" s="1003"/>
      <c r="ED5" s="1000"/>
      <c r="EE5" s="1001"/>
      <c r="EF5" s="1001"/>
      <c r="EG5" s="1002"/>
      <c r="EH5" s="999"/>
      <c r="EI5" s="999"/>
      <c r="EJ5" s="999"/>
      <c r="EK5" s="999"/>
      <c r="EL5" s="999"/>
      <c r="EM5" s="999"/>
      <c r="EN5" s="999"/>
      <c r="EO5" s="999"/>
      <c r="EP5" s="999"/>
      <c r="EQ5" s="1003"/>
      <c r="ER5" s="1003"/>
      <c r="ES5" s="1000"/>
      <c r="ET5" s="1001"/>
      <c r="EU5" s="1001"/>
      <c r="EV5" s="1002"/>
      <c r="EW5" s="999"/>
      <c r="EX5" s="999"/>
      <c r="EY5" s="999"/>
      <c r="EZ5" s="999"/>
      <c r="FA5" s="999"/>
      <c r="FB5" s="999"/>
      <c r="FC5" s="999"/>
      <c r="FD5" s="999"/>
      <c r="FE5" s="999"/>
      <c r="FF5" s="1003"/>
      <c r="FG5" s="1003"/>
      <c r="FH5" s="1000"/>
      <c r="FI5" s="1001"/>
      <c r="FJ5" s="1001"/>
      <c r="FK5" s="1002"/>
      <c r="FL5" s="999"/>
      <c r="FM5" s="999"/>
      <c r="FN5" s="999"/>
      <c r="FO5" s="999"/>
      <c r="FP5" s="999"/>
      <c r="FQ5" s="999"/>
      <c r="FR5" s="999"/>
      <c r="FS5" s="999"/>
      <c r="FT5" s="999"/>
      <c r="FU5" s="1003"/>
      <c r="FV5" s="1003"/>
      <c r="FW5" s="1000"/>
      <c r="FX5" s="1001"/>
      <c r="FY5" s="1001"/>
      <c r="FZ5" s="1002"/>
      <c r="GA5" s="999"/>
      <c r="GB5" s="999"/>
      <c r="GC5" s="999"/>
      <c r="GD5" s="999"/>
      <c r="GE5" s="999"/>
      <c r="GF5" s="999"/>
      <c r="GG5" s="999"/>
      <c r="GH5" s="999"/>
      <c r="GI5" s="999"/>
      <c r="GJ5" s="1003"/>
      <c r="GK5" s="1003"/>
      <c r="GL5" s="1000"/>
      <c r="GM5" s="1001"/>
      <c r="GN5" s="1001"/>
      <c r="GO5" s="1002"/>
      <c r="GP5" s="999"/>
      <c r="GQ5" s="999"/>
      <c r="GR5" s="999"/>
      <c r="GS5" s="999"/>
      <c r="GT5" s="999"/>
      <c r="GU5" s="999"/>
      <c r="GV5" s="999"/>
      <c r="GW5" s="999"/>
      <c r="GX5" s="999"/>
      <c r="GY5" s="1003"/>
      <c r="GZ5" s="1003"/>
      <c r="HA5" s="1000"/>
      <c r="HB5" s="1001"/>
      <c r="HC5" s="1001"/>
      <c r="HD5" s="1002"/>
      <c r="HE5" s="999"/>
      <c r="HF5" s="999"/>
      <c r="HG5" s="999"/>
      <c r="HH5" s="999"/>
      <c r="HI5" s="999"/>
      <c r="HJ5" s="999"/>
      <c r="HK5" s="999"/>
      <c r="HL5" s="999"/>
      <c r="HM5" s="999"/>
      <c r="HN5" s="1003"/>
      <c r="HO5" s="1003"/>
      <c r="HP5" s="1000"/>
      <c r="HQ5" s="1001"/>
      <c r="HR5" s="1001"/>
      <c r="HS5" s="1002"/>
      <c r="HT5" s="999"/>
      <c r="HU5" s="999"/>
      <c r="HV5" s="999"/>
      <c r="HW5" s="999"/>
      <c r="HX5" s="999"/>
      <c r="HY5" s="999"/>
      <c r="HZ5" s="999"/>
      <c r="IA5" s="999"/>
      <c r="IB5" s="999"/>
      <c r="IC5" s="1003"/>
      <c r="ID5" s="1003"/>
      <c r="IE5" s="1000"/>
      <c r="IF5" s="1001"/>
      <c r="IG5" s="1001"/>
      <c r="IH5" s="1002"/>
      <c r="II5" s="999"/>
      <c r="IJ5" s="999"/>
      <c r="IK5" s="999"/>
      <c r="IL5" s="999"/>
      <c r="IM5" s="999"/>
      <c r="IN5" s="999"/>
      <c r="IO5" s="999"/>
      <c r="IP5" s="999"/>
      <c r="IQ5" s="999"/>
      <c r="IR5" s="1003"/>
    </row>
    <row r="6" spans="1:252" s="4" customFormat="1" ht="45.75" customHeight="1" thickBot="1">
      <c r="A6" s="985"/>
      <c r="B6" s="985"/>
      <c r="C6" s="409" t="s">
        <v>3</v>
      </c>
      <c r="D6" s="410" t="s">
        <v>4</v>
      </c>
      <c r="E6" s="409" t="s">
        <v>3</v>
      </c>
      <c r="F6" s="410" t="s">
        <v>4</v>
      </c>
      <c r="G6" s="404"/>
      <c r="H6" s="617" t="s">
        <v>256</v>
      </c>
      <c r="I6" s="648" t="s">
        <v>6</v>
      </c>
      <c r="J6" s="648" t="s">
        <v>257</v>
      </c>
      <c r="K6" s="649" t="s">
        <v>8</v>
      </c>
      <c r="L6" s="616" t="s">
        <v>258</v>
      </c>
      <c r="M6" s="974"/>
      <c r="N6" s="974"/>
      <c r="O6" s="974"/>
      <c r="P6" s="974"/>
      <c r="Q6" s="974"/>
      <c r="R6" s="1006"/>
      <c r="S6" s="1005"/>
      <c r="T6" s="1005"/>
      <c r="U6" s="3"/>
      <c r="V6" s="3"/>
      <c r="W6" s="3"/>
      <c r="X6" s="3"/>
      <c r="Y6" s="999"/>
      <c r="Z6" s="999"/>
      <c r="AA6" s="1003"/>
      <c r="AB6" s="1003"/>
      <c r="AC6" s="1000"/>
      <c r="AD6" s="3"/>
      <c r="AE6" s="3"/>
      <c r="AF6" s="1002"/>
      <c r="AG6" s="999"/>
      <c r="AH6" s="999"/>
      <c r="AI6" s="3"/>
      <c r="AJ6" s="3"/>
      <c r="AK6" s="3"/>
      <c r="AL6" s="3"/>
      <c r="AM6" s="3"/>
      <c r="AN6" s="999"/>
      <c r="AO6" s="999"/>
      <c r="AP6" s="1003"/>
      <c r="AQ6" s="1003"/>
      <c r="AR6" s="1000"/>
      <c r="AS6" s="3"/>
      <c r="AT6" s="3"/>
      <c r="AU6" s="1002"/>
      <c r="AV6" s="999"/>
      <c r="AW6" s="999"/>
      <c r="AX6" s="3"/>
      <c r="AY6" s="3"/>
      <c r="AZ6" s="3"/>
      <c r="BA6" s="3"/>
      <c r="BB6" s="3"/>
      <c r="BC6" s="999"/>
      <c r="BD6" s="999"/>
      <c r="BE6" s="1003"/>
      <c r="BF6" s="1003"/>
      <c r="BG6" s="1000"/>
      <c r="BH6" s="3"/>
      <c r="BI6" s="3"/>
      <c r="BJ6" s="1002"/>
      <c r="BK6" s="999"/>
      <c r="BL6" s="999"/>
      <c r="BM6" s="3"/>
      <c r="BN6" s="3"/>
      <c r="BO6" s="3"/>
      <c r="BP6" s="3"/>
      <c r="BQ6" s="3"/>
      <c r="BR6" s="999"/>
      <c r="BS6" s="999"/>
      <c r="BT6" s="1003"/>
      <c r="BU6" s="1003"/>
      <c r="BV6" s="1000"/>
      <c r="BW6" s="3"/>
      <c r="BX6" s="3"/>
      <c r="BY6" s="1002"/>
      <c r="BZ6" s="999"/>
      <c r="CA6" s="999"/>
      <c r="CB6" s="3"/>
      <c r="CC6" s="3"/>
      <c r="CD6" s="3"/>
      <c r="CE6" s="3"/>
      <c r="CF6" s="3"/>
      <c r="CG6" s="999"/>
      <c r="CH6" s="999"/>
      <c r="CI6" s="1003"/>
      <c r="CJ6" s="1003"/>
      <c r="CK6" s="1000"/>
      <c r="CL6" s="3"/>
      <c r="CM6" s="3"/>
      <c r="CN6" s="1002"/>
      <c r="CO6" s="999"/>
      <c r="CP6" s="999"/>
      <c r="CQ6" s="3"/>
      <c r="CR6" s="3"/>
      <c r="CS6" s="3"/>
      <c r="CT6" s="3"/>
      <c r="CU6" s="3"/>
      <c r="CV6" s="999"/>
      <c r="CW6" s="999"/>
      <c r="CX6" s="1003"/>
      <c r="CY6" s="1003"/>
      <c r="CZ6" s="1000"/>
      <c r="DA6" s="3"/>
      <c r="DB6" s="3"/>
      <c r="DC6" s="1002"/>
      <c r="DD6" s="999"/>
      <c r="DE6" s="999"/>
      <c r="DF6" s="3"/>
      <c r="DG6" s="3"/>
      <c r="DH6" s="3"/>
      <c r="DI6" s="3"/>
      <c r="DJ6" s="3"/>
      <c r="DK6" s="999"/>
      <c r="DL6" s="999"/>
      <c r="DM6" s="1003"/>
      <c r="DN6" s="1003"/>
      <c r="DO6" s="1000"/>
      <c r="DP6" s="3"/>
      <c r="DQ6" s="3"/>
      <c r="DR6" s="1002"/>
      <c r="DS6" s="999"/>
      <c r="DT6" s="999"/>
      <c r="DU6" s="3"/>
      <c r="DV6" s="3"/>
      <c r="DW6" s="3"/>
      <c r="DX6" s="3"/>
      <c r="DY6" s="3"/>
      <c r="DZ6" s="999"/>
      <c r="EA6" s="999"/>
      <c r="EB6" s="1003"/>
      <c r="EC6" s="1003"/>
      <c r="ED6" s="1000"/>
      <c r="EE6" s="3"/>
      <c r="EF6" s="3"/>
      <c r="EG6" s="1002"/>
      <c r="EH6" s="999"/>
      <c r="EI6" s="999"/>
      <c r="EJ6" s="3"/>
      <c r="EK6" s="3"/>
      <c r="EL6" s="3"/>
      <c r="EM6" s="3"/>
      <c r="EN6" s="3"/>
      <c r="EO6" s="999"/>
      <c r="EP6" s="999"/>
      <c r="EQ6" s="1003"/>
      <c r="ER6" s="1003"/>
      <c r="ES6" s="1000"/>
      <c r="ET6" s="3"/>
      <c r="EU6" s="3"/>
      <c r="EV6" s="1002"/>
      <c r="EW6" s="999"/>
      <c r="EX6" s="999"/>
      <c r="EY6" s="3"/>
      <c r="EZ6" s="3"/>
      <c r="FA6" s="3"/>
      <c r="FB6" s="3"/>
      <c r="FC6" s="3"/>
      <c r="FD6" s="999"/>
      <c r="FE6" s="999"/>
      <c r="FF6" s="1003"/>
      <c r="FG6" s="1003"/>
      <c r="FH6" s="1000"/>
      <c r="FI6" s="3"/>
      <c r="FJ6" s="3"/>
      <c r="FK6" s="1002"/>
      <c r="FL6" s="999"/>
      <c r="FM6" s="999"/>
      <c r="FN6" s="3"/>
      <c r="FO6" s="3"/>
      <c r="FP6" s="3"/>
      <c r="FQ6" s="3"/>
      <c r="FR6" s="3"/>
      <c r="FS6" s="999"/>
      <c r="FT6" s="999"/>
      <c r="FU6" s="1003"/>
      <c r="FV6" s="1003"/>
      <c r="FW6" s="1000"/>
      <c r="FX6" s="3"/>
      <c r="FY6" s="3"/>
      <c r="FZ6" s="1002"/>
      <c r="GA6" s="999"/>
      <c r="GB6" s="999"/>
      <c r="GC6" s="3"/>
      <c r="GD6" s="3"/>
      <c r="GE6" s="3"/>
      <c r="GF6" s="3"/>
      <c r="GG6" s="3"/>
      <c r="GH6" s="999"/>
      <c r="GI6" s="999"/>
      <c r="GJ6" s="1003"/>
      <c r="GK6" s="1003"/>
      <c r="GL6" s="1000"/>
      <c r="GM6" s="3"/>
      <c r="GN6" s="3"/>
      <c r="GO6" s="1002"/>
      <c r="GP6" s="999"/>
      <c r="GQ6" s="999"/>
      <c r="GR6" s="3"/>
      <c r="GS6" s="3"/>
      <c r="GT6" s="3"/>
      <c r="GU6" s="3"/>
      <c r="GV6" s="3"/>
      <c r="GW6" s="999"/>
      <c r="GX6" s="999"/>
      <c r="GY6" s="1003"/>
      <c r="GZ6" s="1003"/>
      <c r="HA6" s="1000"/>
      <c r="HB6" s="3"/>
      <c r="HC6" s="3"/>
      <c r="HD6" s="1002"/>
      <c r="HE6" s="999"/>
      <c r="HF6" s="999"/>
      <c r="HG6" s="3"/>
      <c r="HH6" s="3"/>
      <c r="HI6" s="3"/>
      <c r="HJ6" s="3"/>
      <c r="HK6" s="3"/>
      <c r="HL6" s="999"/>
      <c r="HM6" s="999"/>
      <c r="HN6" s="1003"/>
      <c r="HO6" s="1003"/>
      <c r="HP6" s="1000"/>
      <c r="HQ6" s="3"/>
      <c r="HR6" s="3"/>
      <c r="HS6" s="1002"/>
      <c r="HT6" s="999"/>
      <c r="HU6" s="999"/>
      <c r="HV6" s="3"/>
      <c r="HW6" s="3"/>
      <c r="HX6" s="3"/>
      <c r="HY6" s="3"/>
      <c r="HZ6" s="3"/>
      <c r="IA6" s="999"/>
      <c r="IB6" s="999"/>
      <c r="IC6" s="1003"/>
      <c r="ID6" s="1003"/>
      <c r="IE6" s="1000"/>
      <c r="IF6" s="3"/>
      <c r="IG6" s="3"/>
      <c r="IH6" s="1002"/>
      <c r="II6" s="999"/>
      <c r="IJ6" s="999"/>
      <c r="IK6" s="3"/>
      <c r="IL6" s="3"/>
      <c r="IM6" s="3"/>
      <c r="IN6" s="3"/>
      <c r="IO6" s="3"/>
      <c r="IP6" s="999"/>
      <c r="IQ6" s="999"/>
      <c r="IR6" s="1003"/>
    </row>
    <row r="7" spans="1:20" ht="14.25" customHeight="1">
      <c r="A7" s="1133" t="s">
        <v>47</v>
      </c>
      <c r="B7" s="1133" t="s">
        <v>48</v>
      </c>
      <c r="C7" s="266">
        <v>343021</v>
      </c>
      <c r="D7" s="266">
        <v>62595</v>
      </c>
      <c r="E7" s="61">
        <v>371326.7</v>
      </c>
      <c r="F7" s="80">
        <v>67760.35</v>
      </c>
      <c r="G7" s="348">
        <v>439087.05000000005</v>
      </c>
      <c r="H7" s="322">
        <v>0</v>
      </c>
      <c r="I7" s="323">
        <v>145154.23</v>
      </c>
      <c r="J7" s="323">
        <v>0</v>
      </c>
      <c r="K7" s="339">
        <v>26488</v>
      </c>
      <c r="L7" s="1158">
        <f>SUM(H7:K11)</f>
        <v>360656.19</v>
      </c>
      <c r="M7" s="1160">
        <f>L7/E8*100</f>
        <v>82.13774239071728</v>
      </c>
      <c r="N7" s="1160">
        <f>50940.47+52867+52866+19448+104371+20865</f>
        <v>301357.47</v>
      </c>
      <c r="O7" s="1160">
        <f>N7/E7*100</f>
        <v>81.15696231916529</v>
      </c>
      <c r="P7" s="1160">
        <f>50675+105733+19448+104371</f>
        <v>280227</v>
      </c>
      <c r="Q7" s="1154">
        <f>(P7/E7)*100</f>
        <v>75.46642888863096</v>
      </c>
      <c r="R7" s="800">
        <f>E7+F7</f>
        <v>439087.05000000005</v>
      </c>
      <c r="S7" s="1154">
        <f>P7/E7*100</f>
        <v>75.46642888863096</v>
      </c>
      <c r="T7" s="1154">
        <f>N7/SUM(H7:I11)*100</f>
        <v>98.80593519933942</v>
      </c>
    </row>
    <row r="8" spans="1:20" ht="14.25" customHeight="1">
      <c r="A8" s="1134"/>
      <c r="B8" s="1134"/>
      <c r="C8" s="1119">
        <f>C7+D7</f>
        <v>405616</v>
      </c>
      <c r="D8" s="1120"/>
      <c r="E8" s="1129">
        <v>439087.05000000005</v>
      </c>
      <c r="F8" s="1130"/>
      <c r="G8" s="1031">
        <v>439087.05000000005</v>
      </c>
      <c r="H8" s="331">
        <v>0</v>
      </c>
      <c r="I8" s="332">
        <v>31337.47</v>
      </c>
      <c r="J8" s="332">
        <v>0</v>
      </c>
      <c r="K8" s="414">
        <v>5718.52</v>
      </c>
      <c r="L8" s="1159"/>
      <c r="M8" s="1161"/>
      <c r="N8" s="1161"/>
      <c r="O8" s="1161"/>
      <c r="P8" s="1161"/>
      <c r="Q8" s="1155"/>
      <c r="R8" s="800"/>
      <c r="S8" s="1155"/>
      <c r="T8" s="1155"/>
    </row>
    <row r="9" spans="1:20" ht="14.25" customHeight="1" thickBot="1">
      <c r="A9" s="1134"/>
      <c r="B9" s="1134"/>
      <c r="C9" s="1121"/>
      <c r="D9" s="1122"/>
      <c r="E9" s="1131"/>
      <c r="F9" s="1118"/>
      <c r="G9" s="1033"/>
      <c r="H9" s="331">
        <v>0</v>
      </c>
      <c r="I9" s="332">
        <v>19602.43</v>
      </c>
      <c r="J9" s="332">
        <v>0</v>
      </c>
      <c r="K9" s="414">
        <v>3577.09</v>
      </c>
      <c r="L9" s="1159"/>
      <c r="M9" s="1161"/>
      <c r="N9" s="1161"/>
      <c r="O9" s="1161"/>
      <c r="P9" s="1161"/>
      <c r="Q9" s="812"/>
      <c r="R9" s="800">
        <f>E8</f>
        <v>439087.05000000005</v>
      </c>
      <c r="S9" s="1155"/>
      <c r="T9" s="1155"/>
    </row>
    <row r="10" spans="1:20" ht="14.25" customHeight="1">
      <c r="A10" s="1134"/>
      <c r="B10" s="1134"/>
      <c r="C10" s="1121"/>
      <c r="D10" s="1122"/>
      <c r="E10" s="1131"/>
      <c r="F10" s="1118"/>
      <c r="G10" s="380"/>
      <c r="H10" s="331">
        <v>0</v>
      </c>
      <c r="I10" s="332">
        <v>87040.03</v>
      </c>
      <c r="J10" s="332">
        <v>0</v>
      </c>
      <c r="K10" s="414">
        <v>15883.22</v>
      </c>
      <c r="L10" s="1159"/>
      <c r="M10" s="1161"/>
      <c r="N10" s="1161"/>
      <c r="O10" s="1161"/>
      <c r="P10" s="1161"/>
      <c r="Q10" s="813"/>
      <c r="R10" s="800"/>
      <c r="S10" s="1155"/>
      <c r="T10" s="1155"/>
    </row>
    <row r="11" spans="1:20" ht="14.25" customHeight="1" thickBot="1">
      <c r="A11" s="1128"/>
      <c r="B11" s="1128"/>
      <c r="C11" s="1146"/>
      <c r="D11" s="1147"/>
      <c r="E11" s="1146"/>
      <c r="F11" s="1147"/>
      <c r="G11" s="380"/>
      <c r="H11" s="325">
        <v>0</v>
      </c>
      <c r="I11" s="326">
        <v>21865.2</v>
      </c>
      <c r="J11" s="326">
        <v>0</v>
      </c>
      <c r="K11" s="402">
        <v>3990</v>
      </c>
      <c r="L11" s="1132"/>
      <c r="M11" s="1132"/>
      <c r="N11" s="1132"/>
      <c r="O11" s="1132"/>
      <c r="P11" s="1132"/>
      <c r="Q11" s="813"/>
      <c r="R11" s="800"/>
      <c r="S11" s="1132"/>
      <c r="T11" s="1132"/>
    </row>
    <row r="12" spans="1:20" ht="14.25" customHeight="1">
      <c r="A12" s="1133" t="s">
        <v>252</v>
      </c>
      <c r="B12" s="1097" t="s">
        <v>242</v>
      </c>
      <c r="C12" s="312">
        <v>594579</v>
      </c>
      <c r="D12" s="267">
        <v>104926</v>
      </c>
      <c r="E12" s="77">
        <v>643643.99</v>
      </c>
      <c r="F12" s="267">
        <v>113584.23</v>
      </c>
      <c r="G12" s="317">
        <v>757228.22</v>
      </c>
      <c r="H12" s="322"/>
      <c r="I12" s="323"/>
      <c r="J12" s="323"/>
      <c r="K12" s="339"/>
      <c r="L12" s="1158">
        <v>0</v>
      </c>
      <c r="M12" s="1160">
        <v>0</v>
      </c>
      <c r="N12" s="1077">
        <v>0</v>
      </c>
      <c r="O12" s="1077">
        <f>N12/E12*100</f>
        <v>0</v>
      </c>
      <c r="P12" s="1077">
        <v>0</v>
      </c>
      <c r="Q12" s="813"/>
      <c r="R12" s="832">
        <f>E12+F12</f>
        <v>757228.22</v>
      </c>
      <c r="S12" s="1123">
        <v>0</v>
      </c>
      <c r="T12" s="1123">
        <v>0</v>
      </c>
    </row>
    <row r="13" spans="1:20" ht="14.25" customHeight="1" thickBot="1">
      <c r="A13" s="1090"/>
      <c r="B13" s="1060"/>
      <c r="C13" s="982">
        <f>SUM(C12:D12)</f>
        <v>699505</v>
      </c>
      <c r="D13" s="983"/>
      <c r="E13" s="975">
        <v>757228.22</v>
      </c>
      <c r="F13" s="976"/>
      <c r="G13" s="377">
        <v>757228.22</v>
      </c>
      <c r="H13" s="346"/>
      <c r="I13" s="350"/>
      <c r="J13" s="350"/>
      <c r="K13" s="810"/>
      <c r="L13" s="988"/>
      <c r="M13" s="1126"/>
      <c r="N13" s="1076"/>
      <c r="O13" s="1076"/>
      <c r="P13" s="1076"/>
      <c r="Q13" s="812"/>
      <c r="R13" s="800">
        <f>E13</f>
        <v>757228.22</v>
      </c>
      <c r="S13" s="1124"/>
      <c r="T13" s="1124"/>
    </row>
    <row r="14" spans="1:20" ht="14.25" customHeight="1">
      <c r="A14" s="1133" t="s">
        <v>37</v>
      </c>
      <c r="B14" s="1133" t="s">
        <v>38</v>
      </c>
      <c r="C14" s="9">
        <v>321272</v>
      </c>
      <c r="D14" s="10">
        <v>56695</v>
      </c>
      <c r="E14" s="61">
        <v>349681.59</v>
      </c>
      <c r="F14" s="80">
        <v>61708.52</v>
      </c>
      <c r="G14" s="348">
        <v>411390.11000000004</v>
      </c>
      <c r="H14" s="322">
        <v>0</v>
      </c>
      <c r="I14" s="323">
        <v>139872.63</v>
      </c>
      <c r="J14" s="323">
        <v>0</v>
      </c>
      <c r="K14" s="339">
        <v>24683.41</v>
      </c>
      <c r="L14" s="1158">
        <f>SUM(H14:K19)</f>
        <v>409752.97</v>
      </c>
      <c r="M14" s="1160">
        <f>L14/E15*100</f>
        <v>99.6020468260649</v>
      </c>
      <c r="N14" s="1160">
        <v>321943.89</v>
      </c>
      <c r="O14" s="1160">
        <f>N14/E14*100</f>
        <v>92.06772652801081</v>
      </c>
      <c r="P14" s="1160">
        <f>244578.57+57962+18898</f>
        <v>321438.57</v>
      </c>
      <c r="Q14" s="1154">
        <f>(P14/E14)*100</f>
        <v>91.92321791947926</v>
      </c>
      <c r="R14" s="800">
        <f>E14+F14</f>
        <v>411390.11000000004</v>
      </c>
      <c r="S14" s="1114">
        <f>P14/E14*100</f>
        <v>91.92321791947926</v>
      </c>
      <c r="T14" s="1114">
        <f>N14/SUM(H14:I19)*100</f>
        <v>92.4355771089852</v>
      </c>
    </row>
    <row r="15" spans="1:20" ht="14.25" customHeight="1">
      <c r="A15" s="1134"/>
      <c r="B15" s="1134"/>
      <c r="C15" s="1135">
        <f>(C14+D14)</f>
        <v>377967</v>
      </c>
      <c r="D15" s="1136"/>
      <c r="E15" s="1135">
        <v>411390.11000000004</v>
      </c>
      <c r="F15" s="1136"/>
      <c r="G15" s="1091">
        <v>411390.11000000004</v>
      </c>
      <c r="H15" s="331">
        <v>0</v>
      </c>
      <c r="I15" s="332">
        <v>24217.94</v>
      </c>
      <c r="J15" s="332">
        <v>0</v>
      </c>
      <c r="K15" s="414">
        <v>4273.75</v>
      </c>
      <c r="L15" s="1079"/>
      <c r="M15" s="1079"/>
      <c r="N15" s="1079"/>
      <c r="O15" s="1161"/>
      <c r="P15" s="1079"/>
      <c r="Q15" s="1155"/>
      <c r="R15" s="800"/>
      <c r="S15" s="1079"/>
      <c r="T15" s="1079"/>
    </row>
    <row r="16" spans="1:20" ht="14.25" customHeight="1" thickBot="1">
      <c r="A16" s="1134"/>
      <c r="B16" s="1134"/>
      <c r="C16" s="1137"/>
      <c r="D16" s="1138"/>
      <c r="E16" s="1137"/>
      <c r="F16" s="1138"/>
      <c r="G16" s="1092"/>
      <c r="H16" s="331">
        <v>0</v>
      </c>
      <c r="I16" s="332">
        <v>84259.65</v>
      </c>
      <c r="J16" s="332">
        <v>0</v>
      </c>
      <c r="K16" s="414">
        <v>14869.35</v>
      </c>
      <c r="L16" s="1079"/>
      <c r="M16" s="1079"/>
      <c r="N16" s="1079"/>
      <c r="O16" s="1161"/>
      <c r="P16" s="1079"/>
      <c r="Q16" s="1108"/>
      <c r="R16" s="800"/>
      <c r="S16" s="1079"/>
      <c r="T16" s="1079"/>
    </row>
    <row r="17" spans="1:20" ht="14.25" customHeight="1">
      <c r="A17" s="1134"/>
      <c r="B17" s="1134"/>
      <c r="C17" s="1137"/>
      <c r="D17" s="1138"/>
      <c r="E17" s="1137"/>
      <c r="F17" s="1138"/>
      <c r="G17" s="1092"/>
      <c r="H17" s="331">
        <v>0</v>
      </c>
      <c r="I17" s="332">
        <v>55005.68</v>
      </c>
      <c r="J17" s="332">
        <v>0</v>
      </c>
      <c r="K17" s="414">
        <v>9706.88</v>
      </c>
      <c r="L17" s="1079"/>
      <c r="M17" s="1079"/>
      <c r="N17" s="1079"/>
      <c r="O17" s="1161"/>
      <c r="P17" s="1079"/>
      <c r="Q17" s="812"/>
      <c r="R17" s="800"/>
      <c r="S17" s="1079"/>
      <c r="T17" s="1079"/>
    </row>
    <row r="18" spans="1:20" ht="14.25" customHeight="1" thickBot="1">
      <c r="A18" s="1063"/>
      <c r="B18" s="1067"/>
      <c r="C18" s="1137"/>
      <c r="D18" s="1138"/>
      <c r="E18" s="1144"/>
      <c r="F18" s="1145"/>
      <c r="G18" s="1081"/>
      <c r="H18" s="331">
        <v>0</v>
      </c>
      <c r="I18" s="332">
        <v>28841.6</v>
      </c>
      <c r="J18" s="332">
        <v>0</v>
      </c>
      <c r="K18" s="414">
        <v>5089.7</v>
      </c>
      <c r="L18" s="1079"/>
      <c r="M18" s="1079"/>
      <c r="N18" s="1079"/>
      <c r="O18" s="1161"/>
      <c r="P18" s="1079"/>
      <c r="Q18" s="812"/>
      <c r="R18" s="800">
        <f>E15</f>
        <v>411390.11000000004</v>
      </c>
      <c r="S18" s="1079"/>
      <c r="T18" s="1079"/>
    </row>
    <row r="19" spans="1:20" ht="14.25" customHeight="1" thickBot="1">
      <c r="A19" s="1128"/>
      <c r="B19" s="1128"/>
      <c r="C19" s="1146"/>
      <c r="D19" s="1147"/>
      <c r="E19" s="1146"/>
      <c r="F19" s="1147"/>
      <c r="G19" s="391"/>
      <c r="H19" s="325">
        <v>0</v>
      </c>
      <c r="I19" s="326">
        <v>16092.52</v>
      </c>
      <c r="J19" s="326">
        <v>0</v>
      </c>
      <c r="K19" s="402">
        <v>2839.86</v>
      </c>
      <c r="L19" s="1080"/>
      <c r="M19" s="1080"/>
      <c r="N19" s="1080"/>
      <c r="O19" s="1126"/>
      <c r="P19" s="1080"/>
      <c r="Q19" s="812"/>
      <c r="R19" s="800"/>
      <c r="S19" s="1080"/>
      <c r="T19" s="1080"/>
    </row>
    <row r="20" spans="1:20" ht="14.25" customHeight="1">
      <c r="A20" s="1133" t="s">
        <v>17</v>
      </c>
      <c r="B20" s="1097" t="s">
        <v>18</v>
      </c>
      <c r="C20" s="265">
        <v>295565</v>
      </c>
      <c r="D20" s="267">
        <v>52158</v>
      </c>
      <c r="E20" s="61">
        <v>332404.67</v>
      </c>
      <c r="F20" s="80">
        <v>58659.64</v>
      </c>
      <c r="G20" s="348">
        <v>391064.31</v>
      </c>
      <c r="H20" s="322">
        <v>0</v>
      </c>
      <c r="I20" s="323">
        <v>132961.86</v>
      </c>
      <c r="J20" s="323">
        <v>0</v>
      </c>
      <c r="K20" s="324">
        <v>23463.86</v>
      </c>
      <c r="L20" s="1158">
        <f>SUM(H20:K23)</f>
        <v>371511.08999999997</v>
      </c>
      <c r="M20" s="1160">
        <f>L20/E21*100</f>
        <v>94.99999884929412</v>
      </c>
      <c r="N20" s="1077">
        <f>48986.15+163881+67956+17386</f>
        <v>298209.15</v>
      </c>
      <c r="O20" s="1077">
        <f>N20/E20*100</f>
        <v>89.71268363949281</v>
      </c>
      <c r="P20" s="1077">
        <f>8669+37673+163881+67956</f>
        <v>278179</v>
      </c>
      <c r="Q20" s="1154">
        <f>(P20/E20)*100</f>
        <v>83.68685072926323</v>
      </c>
      <c r="R20" s="833">
        <f>E20+F20</f>
        <v>391064.31</v>
      </c>
      <c r="S20" s="1114">
        <f>P20/E20*100</f>
        <v>83.68685072926323</v>
      </c>
      <c r="T20" s="1114">
        <f>N20/SUM(H20:I23)*100</f>
        <v>94.43440577485093</v>
      </c>
    </row>
    <row r="21" spans="1:24" ht="14.25" customHeight="1">
      <c r="A21" s="1134"/>
      <c r="B21" s="1059"/>
      <c r="C21" s="990">
        <f>C20+D20</f>
        <v>347723</v>
      </c>
      <c r="D21" s="991"/>
      <c r="E21" s="1111">
        <v>391064.31</v>
      </c>
      <c r="F21" s="1112"/>
      <c r="G21" s="365"/>
      <c r="H21" s="331">
        <v>0</v>
      </c>
      <c r="I21" s="332">
        <v>9617.33</v>
      </c>
      <c r="J21" s="332">
        <v>0</v>
      </c>
      <c r="K21" s="333">
        <v>1697.18</v>
      </c>
      <c r="L21" s="1159"/>
      <c r="M21" s="1161"/>
      <c r="N21" s="1075"/>
      <c r="O21" s="1075"/>
      <c r="P21" s="1075"/>
      <c r="Q21" s="1155"/>
      <c r="R21" s="834"/>
      <c r="S21" s="1115"/>
      <c r="T21" s="1115"/>
      <c r="U21" s="269"/>
      <c r="V21" s="269"/>
      <c r="W21" s="269"/>
      <c r="X21" s="269"/>
    </row>
    <row r="22" spans="1:24" ht="14.25" customHeight="1">
      <c r="A22" s="1134"/>
      <c r="B22" s="1059"/>
      <c r="C22" s="992"/>
      <c r="D22" s="993"/>
      <c r="E22" s="1093"/>
      <c r="F22" s="1094"/>
      <c r="G22" s="378">
        <v>391064.31</v>
      </c>
      <c r="H22" s="331">
        <v>0</v>
      </c>
      <c r="I22" s="332">
        <v>38906.72</v>
      </c>
      <c r="J22" s="332">
        <v>0</v>
      </c>
      <c r="K22" s="333">
        <v>6865.89</v>
      </c>
      <c r="L22" s="1159"/>
      <c r="M22" s="1161"/>
      <c r="N22" s="1075"/>
      <c r="O22" s="1075" t="e">
        <f>N22/E22*100</f>
        <v>#DIV/0!</v>
      </c>
      <c r="P22" s="1075"/>
      <c r="Q22" s="812"/>
      <c r="R22" s="834">
        <f>E21</f>
        <v>391064.31</v>
      </c>
      <c r="S22" s="1115"/>
      <c r="T22" s="1115"/>
      <c r="U22" s="269"/>
      <c r="V22" s="269"/>
      <c r="W22" s="269"/>
      <c r="X22" s="269"/>
    </row>
    <row r="23" spans="1:24" ht="14.25" customHeight="1" thickBot="1">
      <c r="A23" s="1090"/>
      <c r="B23" s="1060"/>
      <c r="C23" s="982"/>
      <c r="D23" s="983"/>
      <c r="E23" s="1095"/>
      <c r="F23" s="1096"/>
      <c r="G23" s="378"/>
      <c r="H23" s="325">
        <v>0</v>
      </c>
      <c r="I23" s="326">
        <v>134298.52</v>
      </c>
      <c r="J23" s="326">
        <v>0</v>
      </c>
      <c r="K23" s="327">
        <v>23699.73</v>
      </c>
      <c r="L23" s="1113"/>
      <c r="M23" s="1126"/>
      <c r="N23" s="1076"/>
      <c r="O23" s="1076"/>
      <c r="P23" s="1076"/>
      <c r="Q23" s="812"/>
      <c r="R23" s="834"/>
      <c r="S23" s="1116"/>
      <c r="T23" s="1116"/>
      <c r="U23" s="269"/>
      <c r="V23" s="269"/>
      <c r="W23" s="269"/>
      <c r="X23" s="269"/>
    </row>
    <row r="24" spans="1:20" ht="14.25" customHeight="1">
      <c r="A24" s="1133" t="s">
        <v>35</v>
      </c>
      <c r="B24" s="1097" t="s">
        <v>36</v>
      </c>
      <c r="C24" s="311">
        <f>138647+138647</f>
        <v>277294</v>
      </c>
      <c r="D24" s="311">
        <v>48934</v>
      </c>
      <c r="E24" s="61">
        <v>301814.56</v>
      </c>
      <c r="F24" s="80">
        <v>53261.44</v>
      </c>
      <c r="G24" s="348">
        <v>355076</v>
      </c>
      <c r="H24" s="322">
        <v>60362.94</v>
      </c>
      <c r="I24" s="323">
        <v>60362.94</v>
      </c>
      <c r="J24" s="323">
        <v>10652.23</v>
      </c>
      <c r="K24" s="324">
        <v>10652.23</v>
      </c>
      <c r="L24" s="1158">
        <f>SUM(H24:K27)</f>
        <v>286306.96999999986</v>
      </c>
      <c r="M24" s="1160">
        <f>L24/E25*100</f>
        <v>80.63258851626128</v>
      </c>
      <c r="N24" s="1160">
        <f>141840.101772555+30610+23057*2</f>
        <v>218564.101772555</v>
      </c>
      <c r="O24" s="1160">
        <f>N24/E24*100</f>
        <v>72.4166858525828</v>
      </c>
      <c r="P24" s="1160">
        <f>123272.57+15305*2+23057*2</f>
        <v>199996.57</v>
      </c>
      <c r="Q24" s="1154">
        <f>P24/E24*100</f>
        <v>66.26471897180839</v>
      </c>
      <c r="R24" s="834">
        <f>E24+F24</f>
        <v>355076</v>
      </c>
      <c r="S24" s="1123">
        <f>P24/E24*100</f>
        <v>66.26471897180839</v>
      </c>
      <c r="T24" s="1123">
        <f>N24/SUM(H24:I27)*100</f>
        <v>89.81065239399697</v>
      </c>
    </row>
    <row r="25" spans="1:20" ht="14.25" customHeight="1">
      <c r="A25" s="1134"/>
      <c r="B25" s="1059"/>
      <c r="C25" s="1148">
        <f>SUM(C24:D24)</f>
        <v>326228</v>
      </c>
      <c r="D25" s="1149"/>
      <c r="E25" s="1148">
        <v>355076</v>
      </c>
      <c r="F25" s="1149"/>
      <c r="G25" s="1104">
        <v>355076</v>
      </c>
      <c r="H25" s="331">
        <v>58879.17</v>
      </c>
      <c r="I25" s="332">
        <v>58879.17</v>
      </c>
      <c r="J25" s="332">
        <v>10390.44</v>
      </c>
      <c r="K25" s="333">
        <v>10390.44</v>
      </c>
      <c r="L25" s="1159"/>
      <c r="M25" s="1161"/>
      <c r="N25" s="1161"/>
      <c r="O25" s="1161"/>
      <c r="P25" s="1161"/>
      <c r="Q25" s="1155"/>
      <c r="R25" s="591"/>
      <c r="S25" s="1124"/>
      <c r="T25" s="1124"/>
    </row>
    <row r="26" spans="1:20" ht="14.25" customHeight="1" thickBot="1">
      <c r="A26" s="1134"/>
      <c r="B26" s="1059"/>
      <c r="C26" s="1150"/>
      <c r="D26" s="1151"/>
      <c r="E26" s="1150"/>
      <c r="F26" s="1151"/>
      <c r="G26" s="1082"/>
      <c r="H26" s="342">
        <v>1622.97</v>
      </c>
      <c r="I26" s="336">
        <v>1622.97</v>
      </c>
      <c r="J26" s="336">
        <v>286.41</v>
      </c>
      <c r="K26" s="343">
        <v>286.41</v>
      </c>
      <c r="L26" s="1159"/>
      <c r="M26" s="1161"/>
      <c r="N26" s="1161"/>
      <c r="O26" s="1161" t="e">
        <f>N26/E26*100</f>
        <v>#DIV/0!</v>
      </c>
      <c r="P26" s="1161"/>
      <c r="Q26" s="1108"/>
      <c r="R26" s="833"/>
      <c r="S26" s="1124"/>
      <c r="T26" s="1124"/>
    </row>
    <row r="27" spans="1:20" ht="14.25" customHeight="1" thickBot="1">
      <c r="A27" s="1090"/>
      <c r="B27" s="1060"/>
      <c r="C27" s="1152"/>
      <c r="D27" s="1153"/>
      <c r="E27" s="1152"/>
      <c r="F27" s="1153"/>
      <c r="G27" s="1105"/>
      <c r="H27" s="342">
        <v>815.42</v>
      </c>
      <c r="I27" s="336">
        <v>815.42</v>
      </c>
      <c r="J27" s="336">
        <v>143.91</v>
      </c>
      <c r="K27" s="337">
        <v>143.9</v>
      </c>
      <c r="L27" s="1113"/>
      <c r="M27" s="1126"/>
      <c r="N27" s="1126"/>
      <c r="O27" s="1126"/>
      <c r="P27" s="1126"/>
      <c r="Q27" s="812"/>
      <c r="R27" s="833">
        <f>E25</f>
        <v>355076</v>
      </c>
      <c r="S27" s="1125"/>
      <c r="T27" s="1125"/>
    </row>
    <row r="28" spans="1:20" ht="14.25" customHeight="1">
      <c r="A28" s="935" t="s">
        <v>23</v>
      </c>
      <c r="B28" s="935" t="s">
        <v>24</v>
      </c>
      <c r="C28" s="172">
        <f>199776+199775</f>
        <v>399551</v>
      </c>
      <c r="D28" s="172">
        <v>70509</v>
      </c>
      <c r="E28" s="61">
        <v>442575.1</v>
      </c>
      <c r="F28" s="80">
        <v>78101.54</v>
      </c>
      <c r="G28" s="173">
        <v>520676.63999999996</v>
      </c>
      <c r="H28" s="322">
        <v>856.7645887273451</v>
      </c>
      <c r="I28" s="323">
        <v>856.76</v>
      </c>
      <c r="J28" s="323">
        <v>151.19365332271127</v>
      </c>
      <c r="K28" s="334">
        <v>151.19</v>
      </c>
      <c r="L28" s="1158">
        <f>SUM(H28:K43)</f>
        <v>387583.8216869152</v>
      </c>
      <c r="M28" s="1160">
        <f>L28/E29*100</f>
        <v>74.43848867253104</v>
      </c>
      <c r="N28" s="1160">
        <f>285422.956051251+10311+9142+7617+7616</f>
        <v>320108.956051251</v>
      </c>
      <c r="O28" s="1160">
        <f>N28/E28*100</f>
        <v>72.32873156471094</v>
      </c>
      <c r="P28" s="1160">
        <f>285286+5155+5156+4571*2+7617+7616</f>
        <v>319972</v>
      </c>
      <c r="Q28" s="1154">
        <f>P28/E28*100</f>
        <v>72.2977862966082</v>
      </c>
      <c r="R28" s="833">
        <f>E28+F28</f>
        <v>520676.63999999996</v>
      </c>
      <c r="S28" s="1154">
        <f>P28/E28*100</f>
        <v>72.2977862966082</v>
      </c>
      <c r="T28" s="1154">
        <f>N28/SUM(H28:I43)*100</f>
        <v>97.16576932410507</v>
      </c>
    </row>
    <row r="29" spans="1:20" ht="14.25" customHeight="1">
      <c r="A29" s="936"/>
      <c r="B29" s="936"/>
      <c r="C29" s="1135">
        <f>SUM(C28:D28)</f>
        <v>470060</v>
      </c>
      <c r="D29" s="1136"/>
      <c r="E29" s="1135">
        <v>520676.63999999996</v>
      </c>
      <c r="F29" s="1136"/>
      <c r="G29" s="1091">
        <v>520676.63999999996</v>
      </c>
      <c r="H29" s="851">
        <v>1168.7273451503684</v>
      </c>
      <c r="I29" s="852">
        <v>1168.73</v>
      </c>
      <c r="J29" s="852">
        <v>206.24609971453228</v>
      </c>
      <c r="K29" s="853">
        <v>206.25</v>
      </c>
      <c r="L29" s="1159"/>
      <c r="M29" s="1161"/>
      <c r="N29" s="1161"/>
      <c r="O29" s="1161"/>
      <c r="P29" s="1161"/>
      <c r="Q29" s="1155"/>
      <c r="R29" s="800"/>
      <c r="S29" s="1155"/>
      <c r="T29" s="1155"/>
    </row>
    <row r="30" spans="1:20" ht="14.25" customHeight="1">
      <c r="A30" s="936"/>
      <c r="B30" s="936"/>
      <c r="C30" s="1137"/>
      <c r="D30" s="1138"/>
      <c r="E30" s="1137"/>
      <c r="F30" s="1138"/>
      <c r="G30" s="1092"/>
      <c r="H30" s="331">
        <v>3646.91</v>
      </c>
      <c r="I30" s="332">
        <v>3646.91</v>
      </c>
      <c r="J30" s="332">
        <v>643.57</v>
      </c>
      <c r="K30" s="333">
        <v>643.57</v>
      </c>
      <c r="L30" s="1159"/>
      <c r="M30" s="1161"/>
      <c r="N30" s="1161"/>
      <c r="O30" s="1161"/>
      <c r="P30" s="1161"/>
      <c r="Q30" s="1155"/>
      <c r="R30" s="800"/>
      <c r="S30" s="1155"/>
      <c r="T30" s="1155"/>
    </row>
    <row r="31" spans="1:20" ht="14.25" customHeight="1">
      <c r="A31" s="936"/>
      <c r="B31" s="936"/>
      <c r="C31" s="1137"/>
      <c r="D31" s="1138"/>
      <c r="E31" s="1137"/>
      <c r="F31" s="1138"/>
      <c r="G31" s="1092"/>
      <c r="H31" s="331">
        <v>123081.68</v>
      </c>
      <c r="I31" s="332">
        <v>123081.68</v>
      </c>
      <c r="J31" s="332">
        <v>21720.3</v>
      </c>
      <c r="K31" s="333">
        <v>21720.3</v>
      </c>
      <c r="L31" s="1159"/>
      <c r="M31" s="1161"/>
      <c r="N31" s="1161"/>
      <c r="O31" s="1161"/>
      <c r="P31" s="1161"/>
      <c r="Q31" s="1155"/>
      <c r="R31" s="800"/>
      <c r="S31" s="1155"/>
      <c r="T31" s="1155"/>
    </row>
    <row r="32" spans="1:20" ht="14.25" customHeight="1">
      <c r="A32" s="936"/>
      <c r="B32" s="936"/>
      <c r="C32" s="1137"/>
      <c r="D32" s="1138"/>
      <c r="E32" s="1137"/>
      <c r="F32" s="1138"/>
      <c r="G32" s="1092"/>
      <c r="H32" s="331">
        <v>1320.28</v>
      </c>
      <c r="I32" s="332">
        <v>1320.28</v>
      </c>
      <c r="J32" s="332">
        <v>232.99</v>
      </c>
      <c r="K32" s="333">
        <v>232.99</v>
      </c>
      <c r="L32" s="1159"/>
      <c r="M32" s="1161"/>
      <c r="N32" s="1161"/>
      <c r="O32" s="1161"/>
      <c r="P32" s="1161"/>
      <c r="Q32" s="1155"/>
      <c r="R32" s="800"/>
      <c r="S32" s="1155"/>
      <c r="T32" s="1155"/>
    </row>
    <row r="33" spans="1:20" ht="14.25" customHeight="1" thickBot="1">
      <c r="A33" s="936"/>
      <c r="B33" s="936"/>
      <c r="C33" s="1137"/>
      <c r="D33" s="1138"/>
      <c r="E33" s="1137"/>
      <c r="F33" s="1138"/>
      <c r="G33" s="1092"/>
      <c r="H33" s="331">
        <v>1300.25</v>
      </c>
      <c r="I33" s="332">
        <v>1300.25</v>
      </c>
      <c r="J33" s="332">
        <v>229.47</v>
      </c>
      <c r="K33" s="333">
        <v>229.46</v>
      </c>
      <c r="L33" s="1159"/>
      <c r="M33" s="1161"/>
      <c r="N33" s="1161"/>
      <c r="O33" s="1161"/>
      <c r="P33" s="1161"/>
      <c r="Q33" s="1108"/>
      <c r="R33" s="800"/>
      <c r="S33" s="1155"/>
      <c r="T33" s="1155"/>
    </row>
    <row r="34" spans="1:20" ht="14.25" customHeight="1">
      <c r="A34" s="936"/>
      <c r="B34" s="936"/>
      <c r="C34" s="1137"/>
      <c r="D34" s="1138"/>
      <c r="E34" s="1137"/>
      <c r="F34" s="1138"/>
      <c r="G34" s="1092"/>
      <c r="H34" s="331">
        <v>4425.81</v>
      </c>
      <c r="I34" s="332">
        <v>4425.81</v>
      </c>
      <c r="J34" s="332">
        <v>781.03</v>
      </c>
      <c r="K34" s="333">
        <v>781.02</v>
      </c>
      <c r="L34" s="1159"/>
      <c r="M34" s="1161"/>
      <c r="N34" s="1161"/>
      <c r="O34" s="1161"/>
      <c r="P34" s="1161"/>
      <c r="Q34" s="812"/>
      <c r="R34" s="800"/>
      <c r="S34" s="1155"/>
      <c r="T34" s="1155"/>
    </row>
    <row r="35" spans="1:20" ht="14.25" customHeight="1">
      <c r="A35" s="936"/>
      <c r="B35" s="936"/>
      <c r="C35" s="1137"/>
      <c r="D35" s="1138"/>
      <c r="E35" s="1137"/>
      <c r="F35" s="1138"/>
      <c r="G35" s="1092"/>
      <c r="H35" s="331">
        <v>3150.47</v>
      </c>
      <c r="I35" s="332">
        <v>3150.47</v>
      </c>
      <c r="J35" s="332">
        <v>555.96</v>
      </c>
      <c r="K35" s="333">
        <v>555.96</v>
      </c>
      <c r="L35" s="1159"/>
      <c r="M35" s="1161"/>
      <c r="N35" s="1161"/>
      <c r="O35" s="1161"/>
      <c r="P35" s="1161"/>
      <c r="Q35" s="812"/>
      <c r="R35" s="800"/>
      <c r="S35" s="1155"/>
      <c r="T35" s="1155"/>
    </row>
    <row r="36" spans="1:20" ht="14.25" customHeight="1" thickBot="1">
      <c r="A36" s="936"/>
      <c r="B36" s="936"/>
      <c r="C36" s="1137"/>
      <c r="D36" s="1138"/>
      <c r="E36" s="1137"/>
      <c r="F36" s="1138"/>
      <c r="G36" s="1081"/>
      <c r="H36" s="331">
        <v>4492.99</v>
      </c>
      <c r="I36" s="332">
        <v>4492.99</v>
      </c>
      <c r="J36" s="332">
        <v>792.88</v>
      </c>
      <c r="K36" s="333">
        <v>792.88</v>
      </c>
      <c r="L36" s="1159"/>
      <c r="M36" s="1161"/>
      <c r="N36" s="1161"/>
      <c r="O36" s="1161"/>
      <c r="P36" s="1161"/>
      <c r="Q36" s="812"/>
      <c r="R36" s="800">
        <f>E29</f>
        <v>520676.63999999996</v>
      </c>
      <c r="S36" s="1155"/>
      <c r="T36" s="1155"/>
    </row>
    <row r="37" spans="1:20" ht="14.25" customHeight="1">
      <c r="A37" s="936"/>
      <c r="B37" s="936"/>
      <c r="C37" s="1137"/>
      <c r="D37" s="1138"/>
      <c r="E37" s="1137"/>
      <c r="F37" s="1138"/>
      <c r="G37" s="391"/>
      <c r="H37" s="331">
        <v>1891.01</v>
      </c>
      <c r="I37" s="332">
        <v>1891.01</v>
      </c>
      <c r="J37" s="332">
        <v>333.72</v>
      </c>
      <c r="K37" s="333">
        <v>333.71</v>
      </c>
      <c r="L37" s="1159"/>
      <c r="M37" s="1161"/>
      <c r="N37" s="1161"/>
      <c r="O37" s="1161"/>
      <c r="P37" s="1161"/>
      <c r="Q37" s="812"/>
      <c r="R37" s="800"/>
      <c r="S37" s="1155"/>
      <c r="T37" s="1155"/>
    </row>
    <row r="38" spans="1:20" ht="14.25" customHeight="1">
      <c r="A38" s="936"/>
      <c r="B38" s="936"/>
      <c r="C38" s="1137"/>
      <c r="D38" s="1138"/>
      <c r="E38" s="1137"/>
      <c r="F38" s="1138"/>
      <c r="G38" s="391"/>
      <c r="H38" s="331">
        <v>1292.76</v>
      </c>
      <c r="I38" s="332">
        <v>1292.76</v>
      </c>
      <c r="J38" s="332">
        <v>228.14</v>
      </c>
      <c r="K38" s="333">
        <v>228.14</v>
      </c>
      <c r="L38" s="1159"/>
      <c r="M38" s="1161"/>
      <c r="N38" s="1161"/>
      <c r="O38" s="1161"/>
      <c r="P38" s="1161"/>
      <c r="Q38" s="812"/>
      <c r="R38" s="800"/>
      <c r="S38" s="1155"/>
      <c r="T38" s="1155"/>
    </row>
    <row r="39" spans="1:20" ht="14.25" customHeight="1">
      <c r="A39" s="936"/>
      <c r="B39" s="936"/>
      <c r="C39" s="1137"/>
      <c r="D39" s="1138"/>
      <c r="E39" s="1137"/>
      <c r="F39" s="1138"/>
      <c r="G39" s="391"/>
      <c r="H39" s="331">
        <v>2532.63</v>
      </c>
      <c r="I39" s="332">
        <v>2532.63</v>
      </c>
      <c r="J39" s="332">
        <v>446.93</v>
      </c>
      <c r="K39" s="333">
        <v>446.93</v>
      </c>
      <c r="L39" s="1159"/>
      <c r="M39" s="1161"/>
      <c r="N39" s="1161"/>
      <c r="O39" s="1161"/>
      <c r="P39" s="1161"/>
      <c r="Q39" s="812"/>
      <c r="R39" s="800"/>
      <c r="S39" s="1155"/>
      <c r="T39" s="1155"/>
    </row>
    <row r="40" spans="1:20" ht="14.25" customHeight="1">
      <c r="A40" s="936"/>
      <c r="B40" s="936"/>
      <c r="C40" s="1137"/>
      <c r="D40" s="1138"/>
      <c r="E40" s="1137"/>
      <c r="F40" s="1138"/>
      <c r="G40" s="391"/>
      <c r="H40" s="331">
        <v>5732.59</v>
      </c>
      <c r="I40" s="332">
        <v>5732.59</v>
      </c>
      <c r="J40" s="332">
        <v>1011.64</v>
      </c>
      <c r="K40" s="333">
        <v>1011.63</v>
      </c>
      <c r="L40" s="1159"/>
      <c r="M40" s="1161"/>
      <c r="N40" s="1161"/>
      <c r="O40" s="1161"/>
      <c r="P40" s="1161"/>
      <c r="Q40" s="812"/>
      <c r="R40" s="800"/>
      <c r="S40" s="1155"/>
      <c r="T40" s="1155"/>
    </row>
    <row r="41" spans="1:20" ht="14.25" customHeight="1">
      <c r="A41" s="936"/>
      <c r="B41" s="936"/>
      <c r="C41" s="1137"/>
      <c r="D41" s="1138"/>
      <c r="E41" s="1137"/>
      <c r="F41" s="1138"/>
      <c r="G41" s="391"/>
      <c r="H41" s="331">
        <v>3278.53</v>
      </c>
      <c r="I41" s="332">
        <v>3278.53</v>
      </c>
      <c r="J41" s="332">
        <v>578.56</v>
      </c>
      <c r="K41" s="333">
        <v>578.56</v>
      </c>
      <c r="L41" s="1159"/>
      <c r="M41" s="1161"/>
      <c r="N41" s="1161"/>
      <c r="O41" s="1161"/>
      <c r="P41" s="1161"/>
      <c r="Q41" s="812"/>
      <c r="R41" s="800"/>
      <c r="S41" s="1155"/>
      <c r="T41" s="1155"/>
    </row>
    <row r="42" spans="1:20" ht="14.25" customHeight="1">
      <c r="A42" s="937"/>
      <c r="B42" s="937"/>
      <c r="C42" s="1137"/>
      <c r="D42" s="1138"/>
      <c r="E42" s="1137"/>
      <c r="F42" s="1138"/>
      <c r="G42" s="391"/>
      <c r="H42" s="331">
        <v>4667.9</v>
      </c>
      <c r="I42" s="332">
        <v>4667.9</v>
      </c>
      <c r="J42" s="332">
        <v>823.75</v>
      </c>
      <c r="K42" s="333">
        <v>823.75</v>
      </c>
      <c r="L42" s="1159"/>
      <c r="M42" s="1161"/>
      <c r="N42" s="1161"/>
      <c r="O42" s="1161"/>
      <c r="P42" s="1161"/>
      <c r="Q42" s="812"/>
      <c r="R42" s="800"/>
      <c r="S42" s="1155"/>
      <c r="T42" s="1155"/>
    </row>
    <row r="43" spans="1:20" ht="14.25" customHeight="1" thickBot="1">
      <c r="A43" s="1128"/>
      <c r="B43" s="1128"/>
      <c r="C43" s="1146"/>
      <c r="D43" s="1147"/>
      <c r="E43" s="1146"/>
      <c r="F43" s="1147"/>
      <c r="G43" s="391"/>
      <c r="H43" s="325">
        <v>1883.81</v>
      </c>
      <c r="I43" s="326">
        <v>1883.81</v>
      </c>
      <c r="J43" s="326">
        <v>332.44</v>
      </c>
      <c r="K43" s="345">
        <v>332.44</v>
      </c>
      <c r="L43" s="1157"/>
      <c r="M43" s="1157"/>
      <c r="N43" s="1132"/>
      <c r="O43" s="1157"/>
      <c r="P43" s="1157"/>
      <c r="Q43" s="812"/>
      <c r="R43" s="800"/>
      <c r="S43" s="1157"/>
      <c r="T43" s="1157"/>
    </row>
    <row r="44" spans="1:20" ht="14.25" customHeight="1">
      <c r="A44" s="1133" t="s">
        <v>319</v>
      </c>
      <c r="B44" s="1133" t="s">
        <v>20</v>
      </c>
      <c r="C44" s="266">
        <f>192632+192631</f>
        <v>385263</v>
      </c>
      <c r="D44" s="266">
        <v>67987</v>
      </c>
      <c r="E44" s="25">
        <v>426505</v>
      </c>
      <c r="F44" s="20">
        <v>75265.78</v>
      </c>
      <c r="G44" s="348">
        <v>501770.5885281816</v>
      </c>
      <c r="H44" s="322">
        <v>44297.2847374361</v>
      </c>
      <c r="I44" s="323">
        <v>44297.2847374361</v>
      </c>
      <c r="J44" s="323">
        <v>7817.167894841665</v>
      </c>
      <c r="K44" s="324">
        <v>7817.167894841665</v>
      </c>
      <c r="L44" s="1158">
        <f>SUM(H44:K64)</f>
        <v>467455.25202615646</v>
      </c>
      <c r="M44" s="1160">
        <f>L44/E45*100</f>
        <v>93.16111472775606</v>
      </c>
      <c r="N44" s="1160">
        <f>282421.32+7903.22+10080*2+13906+9939+9938+13903+33425+22663</f>
        <v>414258.54</v>
      </c>
      <c r="O44" s="1160">
        <f>N44/E44*100</f>
        <v>97.12864796426771</v>
      </c>
      <c r="P44" s="1160">
        <f>301953+6953+6953+9939+9938+6951+6952+5381*2</f>
        <v>360401</v>
      </c>
      <c r="Q44" s="1154">
        <f>P44/E44*100</f>
        <v>84.5010023329152</v>
      </c>
      <c r="R44" s="800">
        <f>E44+F44</f>
        <v>501770.78</v>
      </c>
      <c r="S44" s="1154">
        <f>P44/E44*100</f>
        <v>84.5010023329152</v>
      </c>
      <c r="T44" s="1154">
        <f>N44/SUM(H44:I64)*100</f>
        <v>104.25876175832025</v>
      </c>
    </row>
    <row r="45" spans="1:20" ht="14.25" customHeight="1">
      <c r="A45" s="1134"/>
      <c r="B45" s="1134"/>
      <c r="C45" s="1129">
        <f>SUM(C44:D44)</f>
        <v>453250</v>
      </c>
      <c r="D45" s="1130"/>
      <c r="E45" s="1129">
        <f>E44+F44</f>
        <v>501770.78</v>
      </c>
      <c r="F45" s="1130"/>
      <c r="G45" s="1091">
        <v>501770.5885281816</v>
      </c>
      <c r="H45" s="325">
        <v>58315.99</v>
      </c>
      <c r="I45" s="326">
        <v>58315.99</v>
      </c>
      <c r="J45" s="326">
        <v>10291.05</v>
      </c>
      <c r="K45" s="327">
        <v>10291.05</v>
      </c>
      <c r="L45" s="1159"/>
      <c r="M45" s="1161"/>
      <c r="N45" s="1161"/>
      <c r="O45" s="1161"/>
      <c r="P45" s="1161"/>
      <c r="Q45" s="1155"/>
      <c r="R45" s="800"/>
      <c r="S45" s="1155"/>
      <c r="T45" s="1155"/>
    </row>
    <row r="46" spans="1:20" ht="14.25" customHeight="1">
      <c r="A46" s="1134"/>
      <c r="B46" s="1134"/>
      <c r="C46" s="1131"/>
      <c r="D46" s="1118"/>
      <c r="E46" s="1131"/>
      <c r="F46" s="1118"/>
      <c r="G46" s="1092"/>
      <c r="H46" s="331">
        <v>14541.399123680541</v>
      </c>
      <c r="I46" s="332">
        <v>14541.399123680541</v>
      </c>
      <c r="J46" s="332">
        <v>2566.1292571200956</v>
      </c>
      <c r="K46" s="333">
        <v>2566.1292571200956</v>
      </c>
      <c r="L46" s="1159"/>
      <c r="M46" s="1161"/>
      <c r="N46" s="1161"/>
      <c r="O46" s="1161"/>
      <c r="P46" s="1161"/>
      <c r="Q46" s="1155"/>
      <c r="R46" s="800"/>
      <c r="S46" s="1155"/>
      <c r="T46" s="1155"/>
    </row>
    <row r="47" spans="1:20" ht="14.25" customHeight="1">
      <c r="A47" s="1134"/>
      <c r="B47" s="1134"/>
      <c r="C47" s="1131"/>
      <c r="D47" s="1118"/>
      <c r="E47" s="1131"/>
      <c r="F47" s="1118"/>
      <c r="G47" s="1092"/>
      <c r="H47" s="331">
        <v>3043.29</v>
      </c>
      <c r="I47" s="332">
        <v>3043.29</v>
      </c>
      <c r="J47" s="332">
        <v>537.06</v>
      </c>
      <c r="K47" s="333">
        <v>537.06</v>
      </c>
      <c r="L47" s="1159"/>
      <c r="M47" s="1161"/>
      <c r="N47" s="1161"/>
      <c r="O47" s="1161"/>
      <c r="P47" s="1161"/>
      <c r="Q47" s="1155"/>
      <c r="R47" s="800"/>
      <c r="S47" s="1155"/>
      <c r="T47" s="1155"/>
    </row>
    <row r="48" spans="1:20" ht="14.25" customHeight="1">
      <c r="A48" s="1134"/>
      <c r="B48" s="1134"/>
      <c r="C48" s="1131"/>
      <c r="D48" s="1118"/>
      <c r="E48" s="1131"/>
      <c r="F48" s="1118"/>
      <c r="G48" s="1092"/>
      <c r="H48" s="331">
        <v>21012.69</v>
      </c>
      <c r="I48" s="332">
        <v>21012.69</v>
      </c>
      <c r="J48" s="332">
        <v>3708.12</v>
      </c>
      <c r="K48" s="333">
        <v>3708.12</v>
      </c>
      <c r="L48" s="1159"/>
      <c r="M48" s="1161"/>
      <c r="N48" s="1161"/>
      <c r="O48" s="1161"/>
      <c r="P48" s="1161"/>
      <c r="Q48" s="1155"/>
      <c r="R48" s="800"/>
      <c r="S48" s="1155"/>
      <c r="T48" s="1155"/>
    </row>
    <row r="49" spans="1:20" ht="14.25" customHeight="1">
      <c r="A49" s="1134"/>
      <c r="B49" s="1134"/>
      <c r="C49" s="1131"/>
      <c r="D49" s="1118"/>
      <c r="E49" s="1131"/>
      <c r="F49" s="1118"/>
      <c r="G49" s="1092"/>
      <c r="H49" s="331">
        <v>3438.26</v>
      </c>
      <c r="I49" s="332">
        <v>3438.26</v>
      </c>
      <c r="J49" s="332">
        <v>606.75</v>
      </c>
      <c r="K49" s="333">
        <v>606.75</v>
      </c>
      <c r="L49" s="1159"/>
      <c r="M49" s="1161"/>
      <c r="N49" s="1161"/>
      <c r="O49" s="1161"/>
      <c r="P49" s="1161"/>
      <c r="Q49" s="1155"/>
      <c r="R49" s="800"/>
      <c r="S49" s="1155"/>
      <c r="T49" s="1155"/>
    </row>
    <row r="50" spans="1:20" ht="14.25" customHeight="1">
      <c r="A50" s="1134"/>
      <c r="B50" s="1134"/>
      <c r="C50" s="1131"/>
      <c r="D50" s="1118"/>
      <c r="E50" s="1131"/>
      <c r="F50" s="1118"/>
      <c r="G50" s="1092"/>
      <c r="H50" s="342">
        <v>5297.86</v>
      </c>
      <c r="I50" s="336">
        <v>5297.86</v>
      </c>
      <c r="J50" s="336">
        <v>934.92</v>
      </c>
      <c r="K50" s="343">
        <v>934.91</v>
      </c>
      <c r="L50" s="1159"/>
      <c r="M50" s="1161"/>
      <c r="N50" s="1161"/>
      <c r="O50" s="1161"/>
      <c r="P50" s="1161"/>
      <c r="Q50" s="1155"/>
      <c r="R50" s="800"/>
      <c r="S50" s="1155"/>
      <c r="T50" s="1155"/>
    </row>
    <row r="51" spans="1:20" ht="14.25" customHeight="1" thickBot="1">
      <c r="A51" s="1134"/>
      <c r="B51" s="1134"/>
      <c r="C51" s="1131"/>
      <c r="D51" s="1118"/>
      <c r="E51" s="1131"/>
      <c r="F51" s="1118"/>
      <c r="G51" s="1092"/>
      <c r="H51" s="331">
        <v>2242.33</v>
      </c>
      <c r="I51" s="332">
        <v>2242.33</v>
      </c>
      <c r="J51" s="332">
        <v>395.72</v>
      </c>
      <c r="K51" s="333">
        <v>395.71</v>
      </c>
      <c r="L51" s="1159"/>
      <c r="M51" s="1161"/>
      <c r="N51" s="1161"/>
      <c r="O51" s="1161"/>
      <c r="P51" s="1161"/>
      <c r="Q51" s="1108"/>
      <c r="R51" s="800"/>
      <c r="S51" s="1155"/>
      <c r="T51" s="1155"/>
    </row>
    <row r="52" spans="1:20" ht="14.25" customHeight="1">
      <c r="A52" s="1134"/>
      <c r="B52" s="1134"/>
      <c r="C52" s="1131"/>
      <c r="D52" s="1118"/>
      <c r="E52" s="1131"/>
      <c r="F52" s="1118"/>
      <c r="G52" s="1092"/>
      <c r="H52" s="331">
        <v>7424.29</v>
      </c>
      <c r="I52" s="332">
        <v>7424.29</v>
      </c>
      <c r="J52" s="332">
        <v>1310.18</v>
      </c>
      <c r="K52" s="333">
        <v>1310.17</v>
      </c>
      <c r="L52" s="1159"/>
      <c r="M52" s="1161"/>
      <c r="N52" s="1161"/>
      <c r="O52" s="1161"/>
      <c r="P52" s="1161"/>
      <c r="Q52" s="812"/>
      <c r="R52" s="800"/>
      <c r="S52" s="1155"/>
      <c r="T52" s="1155"/>
    </row>
    <row r="53" spans="1:20" ht="14.25" customHeight="1">
      <c r="A53" s="1134"/>
      <c r="B53" s="1134"/>
      <c r="C53" s="1131"/>
      <c r="D53" s="1118"/>
      <c r="E53" s="1131"/>
      <c r="F53" s="1118"/>
      <c r="G53" s="1092"/>
      <c r="H53" s="331">
        <v>452.16</v>
      </c>
      <c r="I53" s="332">
        <v>452.16</v>
      </c>
      <c r="J53" s="332">
        <v>79.8</v>
      </c>
      <c r="K53" s="333">
        <v>79.79</v>
      </c>
      <c r="L53" s="1159"/>
      <c r="M53" s="1161"/>
      <c r="N53" s="1161"/>
      <c r="O53" s="1161"/>
      <c r="P53" s="1161"/>
      <c r="Q53" s="812"/>
      <c r="R53" s="800"/>
      <c r="S53" s="1155"/>
      <c r="T53" s="1155"/>
    </row>
    <row r="54" spans="1:20" ht="14.25" customHeight="1" thickBot="1">
      <c r="A54" s="1134"/>
      <c r="B54" s="1134"/>
      <c r="C54" s="1131"/>
      <c r="D54" s="1118"/>
      <c r="E54" s="1131"/>
      <c r="F54" s="1118"/>
      <c r="G54" s="1081"/>
      <c r="H54" s="331">
        <v>663.75</v>
      </c>
      <c r="I54" s="332">
        <v>663.75</v>
      </c>
      <c r="J54" s="332">
        <v>117.14</v>
      </c>
      <c r="K54" s="333">
        <v>117.13</v>
      </c>
      <c r="L54" s="1159"/>
      <c r="M54" s="1161"/>
      <c r="N54" s="1161"/>
      <c r="O54" s="1161"/>
      <c r="P54" s="1161"/>
      <c r="Q54" s="812"/>
      <c r="R54" s="800">
        <f>E45</f>
        <v>501770.78</v>
      </c>
      <c r="S54" s="1155"/>
      <c r="T54" s="1155"/>
    </row>
    <row r="55" spans="1:20" ht="14.25" customHeight="1">
      <c r="A55" s="1134"/>
      <c r="B55" s="1134"/>
      <c r="C55" s="1131"/>
      <c r="D55" s="1118"/>
      <c r="E55" s="1131"/>
      <c r="F55" s="1118"/>
      <c r="G55" s="391"/>
      <c r="H55" s="331">
        <v>3364.61</v>
      </c>
      <c r="I55" s="332">
        <v>3364.61</v>
      </c>
      <c r="J55" s="332">
        <v>593.75</v>
      </c>
      <c r="K55" s="333">
        <v>593.75</v>
      </c>
      <c r="L55" s="1159"/>
      <c r="M55" s="1161"/>
      <c r="N55" s="1161"/>
      <c r="O55" s="1161"/>
      <c r="P55" s="1161"/>
      <c r="Q55" s="812"/>
      <c r="R55" s="800"/>
      <c r="S55" s="1155"/>
      <c r="T55" s="1155"/>
    </row>
    <row r="56" spans="1:20" ht="14.25" customHeight="1">
      <c r="A56" s="1134"/>
      <c r="B56" s="1134"/>
      <c r="C56" s="1131"/>
      <c r="D56" s="1118"/>
      <c r="E56" s="1131"/>
      <c r="F56" s="1118"/>
      <c r="G56" s="391"/>
      <c r="H56" s="331">
        <v>3252.95</v>
      </c>
      <c r="I56" s="332">
        <f>H56</f>
        <v>3252.95</v>
      </c>
      <c r="J56" s="332">
        <v>574.05</v>
      </c>
      <c r="K56" s="333">
        <v>574.05</v>
      </c>
      <c r="L56" s="1159"/>
      <c r="M56" s="1161"/>
      <c r="N56" s="1161"/>
      <c r="O56" s="1161"/>
      <c r="P56" s="1161"/>
      <c r="Q56" s="812"/>
      <c r="R56" s="800"/>
      <c r="S56" s="1155"/>
      <c r="T56" s="1155"/>
    </row>
    <row r="57" spans="1:20" ht="14.25" customHeight="1">
      <c r="A57" s="1134"/>
      <c r="B57" s="1134"/>
      <c r="C57" s="1131"/>
      <c r="D57" s="1118"/>
      <c r="E57" s="1131"/>
      <c r="F57" s="1118"/>
      <c r="G57" s="391"/>
      <c r="H57" s="331">
        <v>8200.96</v>
      </c>
      <c r="I57" s="332">
        <v>8200.96</v>
      </c>
      <c r="J57" s="332">
        <v>1447.24</v>
      </c>
      <c r="K57" s="333">
        <v>1447.23</v>
      </c>
      <c r="L57" s="1159"/>
      <c r="M57" s="1161"/>
      <c r="N57" s="1161"/>
      <c r="O57" s="1161"/>
      <c r="P57" s="1161"/>
      <c r="Q57" s="812"/>
      <c r="R57" s="800"/>
      <c r="S57" s="1155"/>
      <c r="T57" s="1155"/>
    </row>
    <row r="58" spans="1:20" ht="14.25" customHeight="1">
      <c r="A58" s="1134"/>
      <c r="B58" s="1134"/>
      <c r="C58" s="1131"/>
      <c r="D58" s="1118"/>
      <c r="E58" s="1131"/>
      <c r="F58" s="1118"/>
      <c r="G58" s="391"/>
      <c r="H58" s="331">
        <v>8039.4</v>
      </c>
      <c r="I58" s="332">
        <v>8039.4</v>
      </c>
      <c r="J58" s="332">
        <v>1418.72</v>
      </c>
      <c r="K58" s="333">
        <v>1418.72</v>
      </c>
      <c r="L58" s="1159"/>
      <c r="M58" s="1161"/>
      <c r="N58" s="1161"/>
      <c r="O58" s="1161"/>
      <c r="P58" s="1161"/>
      <c r="Q58" s="812"/>
      <c r="R58" s="800"/>
      <c r="S58" s="1155"/>
      <c r="T58" s="1155"/>
    </row>
    <row r="59" spans="1:20" ht="14.25" customHeight="1">
      <c r="A59" s="1134"/>
      <c r="B59" s="1134"/>
      <c r="C59" s="1131"/>
      <c r="D59" s="1118"/>
      <c r="E59" s="1131"/>
      <c r="F59" s="1118"/>
      <c r="G59" s="391"/>
      <c r="H59" s="331">
        <v>4757.23</v>
      </c>
      <c r="I59" s="332">
        <v>4757.23</v>
      </c>
      <c r="J59" s="332">
        <v>839.51</v>
      </c>
      <c r="K59" s="333">
        <v>839.51</v>
      </c>
      <c r="L59" s="1159"/>
      <c r="M59" s="1161"/>
      <c r="N59" s="1161"/>
      <c r="O59" s="1161"/>
      <c r="P59" s="1161"/>
      <c r="Q59" s="812"/>
      <c r="R59" s="800"/>
      <c r="S59" s="1155"/>
      <c r="T59" s="1155"/>
    </row>
    <row r="60" spans="1:20" ht="14.25" customHeight="1">
      <c r="A60" s="1134"/>
      <c r="B60" s="1134"/>
      <c r="C60" s="1131"/>
      <c r="D60" s="1118"/>
      <c r="E60" s="1131"/>
      <c r="F60" s="1118"/>
      <c r="G60" s="391"/>
      <c r="H60" s="331">
        <v>764.18</v>
      </c>
      <c r="I60" s="332">
        <v>764.18</v>
      </c>
      <c r="J60" s="332">
        <v>134.86</v>
      </c>
      <c r="K60" s="333">
        <v>134.86</v>
      </c>
      <c r="L60" s="1159"/>
      <c r="M60" s="1161"/>
      <c r="N60" s="1161"/>
      <c r="O60" s="1161"/>
      <c r="P60" s="1161"/>
      <c r="Q60" s="812"/>
      <c r="R60" s="800"/>
      <c r="S60" s="1155"/>
      <c r="T60" s="1155"/>
    </row>
    <row r="61" spans="1:20" ht="14.25" customHeight="1">
      <c r="A61" s="1134"/>
      <c r="B61" s="1134"/>
      <c r="C61" s="1131"/>
      <c r="D61" s="1118"/>
      <c r="E61" s="1131"/>
      <c r="F61" s="1118"/>
      <c r="G61" s="391"/>
      <c r="H61" s="331">
        <v>3698.23</v>
      </c>
      <c r="I61" s="332">
        <v>3698.23</v>
      </c>
      <c r="J61" s="332">
        <v>652.63</v>
      </c>
      <c r="K61" s="333">
        <v>652.63</v>
      </c>
      <c r="L61" s="1159"/>
      <c r="M61" s="1161"/>
      <c r="N61" s="1161"/>
      <c r="O61" s="1161"/>
      <c r="P61" s="1161"/>
      <c r="Q61" s="812"/>
      <c r="R61" s="800"/>
      <c r="S61" s="1155"/>
      <c r="T61" s="1155"/>
    </row>
    <row r="62" spans="1:20" ht="14.25" customHeight="1">
      <c r="A62" s="1134"/>
      <c r="B62" s="1134"/>
      <c r="C62" s="1131"/>
      <c r="D62" s="1118"/>
      <c r="E62" s="1131"/>
      <c r="F62" s="1118"/>
      <c r="G62" s="391"/>
      <c r="H62" s="897">
        <v>1938.89</v>
      </c>
      <c r="I62" s="332">
        <v>1938.89</v>
      </c>
      <c r="J62" s="332">
        <v>342.16</v>
      </c>
      <c r="K62" s="333">
        <v>342.16</v>
      </c>
      <c r="L62" s="1159"/>
      <c r="M62" s="1161"/>
      <c r="N62" s="1161"/>
      <c r="O62" s="1161"/>
      <c r="P62" s="1161"/>
      <c r="Q62" s="812"/>
      <c r="R62" s="800"/>
      <c r="S62" s="1155"/>
      <c r="T62" s="1155"/>
    </row>
    <row r="63" spans="1:20" ht="14.25" customHeight="1">
      <c r="A63" s="1134"/>
      <c r="B63" s="1134"/>
      <c r="C63" s="1131"/>
      <c r="D63" s="1118"/>
      <c r="E63" s="1131"/>
      <c r="F63" s="1118"/>
      <c r="G63" s="391"/>
      <c r="H63" s="897">
        <v>168.38</v>
      </c>
      <c r="I63" s="332">
        <v>168.38</v>
      </c>
      <c r="J63" s="332">
        <v>29.71</v>
      </c>
      <c r="K63" s="333">
        <v>29.71</v>
      </c>
      <c r="L63" s="1159"/>
      <c r="M63" s="1161"/>
      <c r="N63" s="1161"/>
      <c r="O63" s="1161"/>
      <c r="P63" s="1161"/>
      <c r="Q63" s="812"/>
      <c r="R63" s="800"/>
      <c r="S63" s="1155"/>
      <c r="T63" s="1155"/>
    </row>
    <row r="64" spans="1:20" ht="14.25" customHeight="1" thickBot="1">
      <c r="A64" s="1090"/>
      <c r="B64" s="1090"/>
      <c r="C64" s="1102"/>
      <c r="D64" s="1103"/>
      <c r="E64" s="1102"/>
      <c r="F64" s="1103"/>
      <c r="G64" s="391"/>
      <c r="H64" s="890">
        <v>3754.32</v>
      </c>
      <c r="I64" s="326">
        <v>3754.32</v>
      </c>
      <c r="J64" s="326">
        <v>662.54</v>
      </c>
      <c r="K64" s="345">
        <v>662.53</v>
      </c>
      <c r="L64" s="1113"/>
      <c r="M64" s="1126"/>
      <c r="N64" s="1126"/>
      <c r="O64" s="1126"/>
      <c r="P64" s="1126"/>
      <c r="Q64" s="812"/>
      <c r="R64" s="800"/>
      <c r="S64" s="1108"/>
      <c r="T64" s="1108"/>
    </row>
    <row r="65" spans="1:20" ht="14.25" customHeight="1">
      <c r="A65" s="1133" t="s">
        <v>13</v>
      </c>
      <c r="B65" s="1097" t="s">
        <v>14</v>
      </c>
      <c r="C65" s="265">
        <v>555499</v>
      </c>
      <c r="D65" s="267">
        <v>98029</v>
      </c>
      <c r="E65" s="61">
        <v>615315.54</v>
      </c>
      <c r="F65" s="80">
        <v>108585.1</v>
      </c>
      <c r="G65" s="348">
        <v>723900.64</v>
      </c>
      <c r="H65" s="322">
        <v>0</v>
      </c>
      <c r="I65" s="323">
        <v>76798.63041890725</v>
      </c>
      <c r="J65" s="323">
        <v>0</v>
      </c>
      <c r="K65" s="324">
        <v>13552.699329482839</v>
      </c>
      <c r="L65" s="1158">
        <f>SUM(H65:K68)</f>
        <v>687705.60974839</v>
      </c>
      <c r="M65" s="1160">
        <f>L65/E66*100</f>
        <v>95.00000024152348</v>
      </c>
      <c r="N65" s="1077">
        <f>16798.69+59568+397654+23374</f>
        <v>497394.69</v>
      </c>
      <c r="O65" s="1077">
        <f>N65/E65*100</f>
        <v>80.83571073144033</v>
      </c>
      <c r="P65" s="1077">
        <f>76135+397654</f>
        <v>473789</v>
      </c>
      <c r="Q65" s="1114">
        <f>P65/E65*100</f>
        <v>76.99935548515482</v>
      </c>
      <c r="R65" s="800">
        <f>E65+F65</f>
        <v>723900.64</v>
      </c>
      <c r="S65" s="1114">
        <f>P65/E65*100</f>
        <v>76.99935548515482</v>
      </c>
      <c r="T65" s="1114">
        <f>N65/SUM(H65:I68)*100</f>
        <v>85.09022219828657</v>
      </c>
    </row>
    <row r="66" spans="1:20" ht="14.25" customHeight="1">
      <c r="A66" s="904"/>
      <c r="B66" s="1098"/>
      <c r="C66" s="1111">
        <f>SUM(C65:D65)</f>
        <v>653528</v>
      </c>
      <c r="D66" s="1112"/>
      <c r="E66" s="1111">
        <v>723900.64</v>
      </c>
      <c r="F66" s="1100"/>
      <c r="G66" s="1026">
        <v>723900.64</v>
      </c>
      <c r="H66" s="331">
        <v>0</v>
      </c>
      <c r="I66" s="332">
        <v>147761.65</v>
      </c>
      <c r="J66" s="332">
        <v>0</v>
      </c>
      <c r="K66" s="333">
        <v>26075.59</v>
      </c>
      <c r="L66" s="1079"/>
      <c r="M66" s="1079"/>
      <c r="N66" s="1079"/>
      <c r="O66" s="1075"/>
      <c r="P66" s="1079"/>
      <c r="Q66" s="1115"/>
      <c r="R66" s="800"/>
      <c r="S66" s="1115"/>
      <c r="T66" s="1115"/>
    </row>
    <row r="67" spans="1:20" ht="14.25" customHeight="1" thickBot="1">
      <c r="A67" s="904"/>
      <c r="B67" s="1098"/>
      <c r="C67" s="1093"/>
      <c r="D67" s="1094"/>
      <c r="E67" s="1086"/>
      <c r="F67" s="1087"/>
      <c r="G67" s="1008"/>
      <c r="H67" s="331">
        <v>0</v>
      </c>
      <c r="I67" s="332">
        <v>98005</v>
      </c>
      <c r="J67" s="332">
        <v>0</v>
      </c>
      <c r="K67" s="333">
        <v>17295</v>
      </c>
      <c r="L67" s="1079"/>
      <c r="M67" s="1079"/>
      <c r="N67" s="1079"/>
      <c r="O67" s="1075"/>
      <c r="P67" s="1079"/>
      <c r="Q67" s="1116"/>
      <c r="R67" s="800">
        <f>E66</f>
        <v>723900.64</v>
      </c>
      <c r="S67" s="1115"/>
      <c r="T67" s="1115"/>
    </row>
    <row r="68" spans="1:20" ht="14.25" customHeight="1" thickBot="1">
      <c r="A68" s="1099"/>
      <c r="B68" s="1099"/>
      <c r="C68" s="994"/>
      <c r="D68" s="995"/>
      <c r="E68" s="1088"/>
      <c r="F68" s="1089"/>
      <c r="G68" s="386"/>
      <c r="H68" s="325">
        <v>0</v>
      </c>
      <c r="I68" s="326">
        <v>261984.48</v>
      </c>
      <c r="J68" s="326">
        <v>0</v>
      </c>
      <c r="K68" s="327">
        <v>46232.56</v>
      </c>
      <c r="L68" s="1099"/>
      <c r="M68" s="1099"/>
      <c r="N68" s="1080"/>
      <c r="O68" s="901"/>
      <c r="P68" s="1099"/>
      <c r="Q68" s="835"/>
      <c r="R68" s="800"/>
      <c r="S68" s="901"/>
      <c r="T68" s="901"/>
    </row>
    <row r="69" spans="1:20" ht="14.25" customHeight="1">
      <c r="A69" s="1133" t="s">
        <v>61</v>
      </c>
      <c r="B69" s="818" t="s">
        <v>62</v>
      </c>
      <c r="C69" s="411">
        <f>186505+186504</f>
        <v>373009</v>
      </c>
      <c r="D69" s="418">
        <v>65825</v>
      </c>
      <c r="E69" s="302">
        <v>416778.9</v>
      </c>
      <c r="F69" s="303">
        <v>73549.28</v>
      </c>
      <c r="G69" s="366">
        <v>490328.18000000005</v>
      </c>
      <c r="H69" s="854">
        <v>1317.21</v>
      </c>
      <c r="I69" s="855">
        <v>1317.21</v>
      </c>
      <c r="J69" s="855">
        <v>232.45</v>
      </c>
      <c r="K69" s="856">
        <v>232.45</v>
      </c>
      <c r="L69" s="827">
        <f>SUM(H69:K75)</f>
        <v>465811.77</v>
      </c>
      <c r="M69" s="830">
        <f>L69/E70*100</f>
        <v>94.99999979605496</v>
      </c>
      <c r="N69" s="1050">
        <f>255530.31+37439+59101</f>
        <v>352070.31</v>
      </c>
      <c r="O69" s="1050">
        <f>N69/E69*100</f>
        <v>84.47412045091534</v>
      </c>
      <c r="P69" s="1050">
        <f>205542.43+24501+24501+18720+18719+29550+29551</f>
        <v>351084.43</v>
      </c>
      <c r="Q69" s="1123">
        <f>P69/E69*100</f>
        <v>84.23757296734551</v>
      </c>
      <c r="R69" s="800">
        <f>E69+F69</f>
        <v>490328.18000000005</v>
      </c>
      <c r="S69" s="1114">
        <f>P69/E69*100</f>
        <v>84.23757296734551</v>
      </c>
      <c r="T69" s="1114">
        <f>N69/SUM(H69:I75)*100</f>
        <v>88.92012566753807</v>
      </c>
    </row>
    <row r="70" spans="1:20" ht="14.25" customHeight="1">
      <c r="A70" s="1134"/>
      <c r="B70" s="819"/>
      <c r="C70" s="821">
        <f>SUM(C69:D69)</f>
        <v>438834</v>
      </c>
      <c r="D70" s="822"/>
      <c r="E70" s="821">
        <v>490328.18</v>
      </c>
      <c r="F70" s="822"/>
      <c r="G70" s="909">
        <v>490328.18000000005</v>
      </c>
      <c r="H70" s="857">
        <v>82528.38</v>
      </c>
      <c r="I70" s="858">
        <v>82528.38</v>
      </c>
      <c r="J70" s="858">
        <v>14563.83</v>
      </c>
      <c r="K70" s="859">
        <v>14563.83</v>
      </c>
      <c r="L70" s="828"/>
      <c r="M70" s="831"/>
      <c r="N70" s="1051"/>
      <c r="O70" s="1051"/>
      <c r="P70" s="1051"/>
      <c r="Q70" s="1124"/>
      <c r="R70" s="800"/>
      <c r="S70" s="1115"/>
      <c r="T70" s="1115"/>
    </row>
    <row r="71" spans="1:20" ht="14.25" customHeight="1">
      <c r="A71" s="1134"/>
      <c r="B71" s="819"/>
      <c r="C71" s="823"/>
      <c r="D71" s="824"/>
      <c r="E71" s="823"/>
      <c r="F71" s="824"/>
      <c r="G71" s="910"/>
      <c r="H71" s="857">
        <v>64886.94</v>
      </c>
      <c r="I71" s="858">
        <v>64886.94</v>
      </c>
      <c r="J71" s="858">
        <v>11450.64</v>
      </c>
      <c r="K71" s="859">
        <v>11450.64</v>
      </c>
      <c r="L71" s="828"/>
      <c r="M71" s="831"/>
      <c r="N71" s="1051"/>
      <c r="O71" s="1051"/>
      <c r="P71" s="1051"/>
      <c r="Q71" s="1124"/>
      <c r="R71" s="800"/>
      <c r="S71" s="1115"/>
      <c r="T71" s="1115"/>
    </row>
    <row r="72" spans="1:20" ht="14.25" customHeight="1" thickBot="1">
      <c r="A72" s="1134"/>
      <c r="B72" s="819"/>
      <c r="C72" s="823"/>
      <c r="D72" s="824"/>
      <c r="E72" s="823"/>
      <c r="F72" s="824"/>
      <c r="G72" s="910"/>
      <c r="H72" s="857">
        <v>2832.5</v>
      </c>
      <c r="I72" s="858">
        <v>2832.5</v>
      </c>
      <c r="J72" s="858">
        <v>499.85</v>
      </c>
      <c r="K72" s="859">
        <v>499.85</v>
      </c>
      <c r="L72" s="828"/>
      <c r="M72" s="831"/>
      <c r="N72" s="1051"/>
      <c r="O72" s="1051"/>
      <c r="P72" s="1051"/>
      <c r="Q72" s="1125"/>
      <c r="R72" s="800"/>
      <c r="S72" s="1115"/>
      <c r="T72" s="1115"/>
    </row>
    <row r="73" spans="1:20" ht="14.25" customHeight="1" thickBot="1">
      <c r="A73" s="1134"/>
      <c r="B73" s="819"/>
      <c r="C73" s="823"/>
      <c r="D73" s="824"/>
      <c r="E73" s="823"/>
      <c r="F73" s="824"/>
      <c r="G73" s="911"/>
      <c r="H73" s="857">
        <v>28695.79</v>
      </c>
      <c r="I73" s="858">
        <v>28695.79</v>
      </c>
      <c r="J73" s="858">
        <v>5063.96</v>
      </c>
      <c r="K73" s="859">
        <v>5063.96</v>
      </c>
      <c r="L73" s="828"/>
      <c r="M73" s="831"/>
      <c r="N73" s="1051"/>
      <c r="O73" s="1051"/>
      <c r="P73" s="1051"/>
      <c r="Q73" s="835"/>
      <c r="R73" s="800">
        <f>E70</f>
        <v>490328.18</v>
      </c>
      <c r="S73" s="1115"/>
      <c r="T73" s="1115"/>
    </row>
    <row r="74" spans="1:20" ht="14.25" customHeight="1">
      <c r="A74" s="1134"/>
      <c r="B74" s="819"/>
      <c r="C74" s="823"/>
      <c r="D74" s="824"/>
      <c r="E74" s="823"/>
      <c r="F74" s="824"/>
      <c r="G74" s="886"/>
      <c r="H74" s="857">
        <v>16374.15</v>
      </c>
      <c r="I74" s="858">
        <v>16374.15</v>
      </c>
      <c r="J74" s="858">
        <v>2889.56</v>
      </c>
      <c r="K74" s="859">
        <v>2889.56</v>
      </c>
      <c r="L74" s="828"/>
      <c r="M74" s="831"/>
      <c r="N74" s="1051"/>
      <c r="O74" s="1051"/>
      <c r="P74" s="1051"/>
      <c r="Q74" s="835"/>
      <c r="R74" s="800"/>
      <c r="S74" s="1115"/>
      <c r="T74" s="1115"/>
    </row>
    <row r="75" spans="1:20" ht="14.25" customHeight="1" thickBot="1">
      <c r="A75" s="1090"/>
      <c r="B75" s="820"/>
      <c r="C75" s="825"/>
      <c r="D75" s="826"/>
      <c r="E75" s="825"/>
      <c r="F75" s="826"/>
      <c r="G75" s="886"/>
      <c r="H75" s="860">
        <v>1335.01</v>
      </c>
      <c r="I75" s="861">
        <v>1335.01</v>
      </c>
      <c r="J75" s="861">
        <v>235.62</v>
      </c>
      <c r="K75" s="862">
        <v>235.61</v>
      </c>
      <c r="L75" s="829"/>
      <c r="M75" s="781"/>
      <c r="N75" s="1052"/>
      <c r="O75" s="1052"/>
      <c r="P75" s="1052"/>
      <c r="Q75" s="835"/>
      <c r="R75" s="800"/>
      <c r="S75" s="1116"/>
      <c r="T75" s="1116"/>
    </row>
    <row r="76" spans="1:20" ht="19.5" customHeight="1">
      <c r="A76" s="1133" t="s">
        <v>9</v>
      </c>
      <c r="B76" s="1097" t="s">
        <v>10</v>
      </c>
      <c r="C76" s="265">
        <v>240276</v>
      </c>
      <c r="D76" s="267">
        <v>42402</v>
      </c>
      <c r="E76" s="61">
        <v>270225.11</v>
      </c>
      <c r="F76" s="80">
        <v>47686.81</v>
      </c>
      <c r="G76" s="348">
        <v>317911.92</v>
      </c>
      <c r="H76" s="322">
        <v>0</v>
      </c>
      <c r="I76" s="323">
        <v>89023.49166832636</v>
      </c>
      <c r="J76" s="323">
        <v>0</v>
      </c>
      <c r="K76" s="324">
        <v>15710.027882891853</v>
      </c>
      <c r="L76" s="1019">
        <f>SUM(H76:K80)</f>
        <v>286859.2995512182</v>
      </c>
      <c r="M76" s="1077">
        <f>L76/E77*100</f>
        <v>90.23231955291838</v>
      </c>
      <c r="N76" s="1077">
        <f>147694.06+81825+14134</f>
        <v>243653.06</v>
      </c>
      <c r="O76" s="1077">
        <f>N76/E76*100</f>
        <v>90.1666984241398</v>
      </c>
      <c r="P76" s="1077">
        <f>119924.8/30.126+69164+37676+31870+81825+14134</f>
        <v>238649.77408218815</v>
      </c>
      <c r="Q76" s="1123">
        <f>P76/E76*100</f>
        <v>88.31517325765475</v>
      </c>
      <c r="R76" s="800">
        <f>E76+F76</f>
        <v>317911.92</v>
      </c>
      <c r="S76" s="1114">
        <f>P76/E76*100</f>
        <v>88.31517325765475</v>
      </c>
      <c r="T76" s="1114">
        <f>N76/SUM(H76:I80)*100</f>
        <v>99.92726433626024</v>
      </c>
    </row>
    <row r="77" spans="1:20" ht="19.5" customHeight="1">
      <c r="A77" s="904"/>
      <c r="B77" s="1098"/>
      <c r="C77" s="1111">
        <f>SUM(C76:D76)</f>
        <v>282678</v>
      </c>
      <c r="D77" s="1112"/>
      <c r="E77" s="1111">
        <v>317911.92</v>
      </c>
      <c r="F77" s="1100"/>
      <c r="G77" s="1026">
        <v>317911.92</v>
      </c>
      <c r="H77" s="331">
        <v>0</v>
      </c>
      <c r="I77" s="332">
        <v>87465.98</v>
      </c>
      <c r="J77" s="332">
        <v>0</v>
      </c>
      <c r="K77" s="333">
        <v>15435.17</v>
      </c>
      <c r="L77" s="1079"/>
      <c r="M77" s="1079"/>
      <c r="N77" s="1079"/>
      <c r="O77" s="1075"/>
      <c r="P77" s="1079"/>
      <c r="Q77" s="1124"/>
      <c r="R77" s="800"/>
      <c r="S77" s="1115"/>
      <c r="T77" s="1115"/>
    </row>
    <row r="78" spans="1:20" ht="19.5" customHeight="1" thickBot="1">
      <c r="A78" s="904"/>
      <c r="B78" s="1098"/>
      <c r="C78" s="1093"/>
      <c r="D78" s="1094"/>
      <c r="E78" s="1086"/>
      <c r="F78" s="1087"/>
      <c r="G78" s="1007"/>
      <c r="H78" s="331">
        <v>0</v>
      </c>
      <c r="I78" s="332">
        <v>47600</v>
      </c>
      <c r="J78" s="332">
        <v>0</v>
      </c>
      <c r="K78" s="333">
        <v>8400</v>
      </c>
      <c r="L78" s="1079"/>
      <c r="M78" s="1079"/>
      <c r="N78" s="1079"/>
      <c r="O78" s="1075"/>
      <c r="P78" s="1079"/>
      <c r="Q78" s="1125"/>
      <c r="R78" s="800"/>
      <c r="S78" s="1115"/>
      <c r="T78" s="1115"/>
    </row>
    <row r="79" spans="1:20" ht="19.5" customHeight="1" thickBot="1">
      <c r="A79" s="904"/>
      <c r="B79" s="1098"/>
      <c r="C79" s="1093"/>
      <c r="D79" s="1094"/>
      <c r="E79" s="1086"/>
      <c r="F79" s="1087"/>
      <c r="G79" s="1008"/>
      <c r="H79" s="331">
        <v>0</v>
      </c>
      <c r="I79" s="332">
        <v>18700</v>
      </c>
      <c r="J79" s="332">
        <v>0</v>
      </c>
      <c r="K79" s="333">
        <v>3300</v>
      </c>
      <c r="L79" s="1079"/>
      <c r="M79" s="1079"/>
      <c r="N79" s="1079"/>
      <c r="O79" s="1075"/>
      <c r="P79" s="1079"/>
      <c r="Q79" s="835"/>
      <c r="R79" s="800">
        <f>E77</f>
        <v>317911.92</v>
      </c>
      <c r="S79" s="1115"/>
      <c r="T79" s="1115"/>
    </row>
    <row r="80" spans="1:20" ht="19.5" customHeight="1" thickBot="1">
      <c r="A80" s="1099"/>
      <c r="B80" s="1099"/>
      <c r="C80" s="994"/>
      <c r="D80" s="995"/>
      <c r="E80" s="1088"/>
      <c r="F80" s="1089"/>
      <c r="G80" s="707"/>
      <c r="H80" s="325">
        <v>0</v>
      </c>
      <c r="I80" s="326">
        <v>1040.94</v>
      </c>
      <c r="J80" s="326">
        <v>0</v>
      </c>
      <c r="K80" s="327">
        <v>183.69</v>
      </c>
      <c r="L80" s="1080"/>
      <c r="M80" s="1080"/>
      <c r="N80" s="1080"/>
      <c r="O80" s="1078"/>
      <c r="P80" s="1080"/>
      <c r="Q80" s="835"/>
      <c r="R80" s="800"/>
      <c r="S80" s="1078"/>
      <c r="T80" s="1078"/>
    </row>
    <row r="81" spans="1:20" ht="14.25" customHeight="1">
      <c r="A81" s="1133" t="s">
        <v>57</v>
      </c>
      <c r="B81" s="1097" t="s">
        <v>58</v>
      </c>
      <c r="C81" s="265">
        <v>516310</v>
      </c>
      <c r="D81" s="267">
        <v>57368</v>
      </c>
      <c r="E81" s="77">
        <v>571906.82</v>
      </c>
      <c r="F81" s="78">
        <v>63545.44</v>
      </c>
      <c r="G81" s="77">
        <v>635452.2624975104</v>
      </c>
      <c r="H81" s="804">
        <v>8262.55</v>
      </c>
      <c r="I81" s="805">
        <v>8262.55</v>
      </c>
      <c r="J81" s="805">
        <v>918.06</v>
      </c>
      <c r="K81" s="863">
        <v>918.06</v>
      </c>
      <c r="L81" s="1158">
        <f>SUM(H81:K82)</f>
        <v>72141.79999999999</v>
      </c>
      <c r="M81" s="1160">
        <f>L81/E82*100</f>
        <v>11.352827669540428</v>
      </c>
      <c r="N81" s="1077">
        <f>(17072.68*2)/30.126</f>
        <v>1133.418309765651</v>
      </c>
      <c r="O81" s="1077">
        <f>N81/E81*100</f>
        <v>0.1981823384735386</v>
      </c>
      <c r="P81" s="1077">
        <f>(17411.72+17411.72)/30.126</f>
        <v>1155.9264422757751</v>
      </c>
      <c r="Q81" s="1123">
        <f>P81/E81*100</f>
        <v>0.20211796779688257</v>
      </c>
      <c r="R81" s="800">
        <f>E81+F81</f>
        <v>635452.26</v>
      </c>
      <c r="S81" s="1073">
        <f>P81/E81*100</f>
        <v>0.20211796779688257</v>
      </c>
      <c r="T81" s="1073">
        <f>N81/SUM(H81:I82)*100</f>
        <v>1.7456643409471209</v>
      </c>
    </row>
    <row r="82" spans="1:20" ht="14.25" customHeight="1" thickBot="1">
      <c r="A82" s="938"/>
      <c r="B82" s="1060"/>
      <c r="C82" s="975">
        <f>SUM(C81:D81)</f>
        <v>573678</v>
      </c>
      <c r="D82" s="976"/>
      <c r="E82" s="1095">
        <v>635452.26</v>
      </c>
      <c r="F82" s="1096"/>
      <c r="G82" s="377">
        <v>635452.2624975104</v>
      </c>
      <c r="H82" s="349">
        <v>24201.26</v>
      </c>
      <c r="I82" s="341">
        <v>24201.26</v>
      </c>
      <c r="J82" s="341">
        <v>2689.03</v>
      </c>
      <c r="K82" s="864">
        <v>2689.03</v>
      </c>
      <c r="L82" s="1113"/>
      <c r="M82" s="1126"/>
      <c r="N82" s="1076"/>
      <c r="O82" s="1076"/>
      <c r="P82" s="1076"/>
      <c r="Q82" s="1124"/>
      <c r="R82" s="800">
        <f>E82</f>
        <v>635452.26</v>
      </c>
      <c r="S82" s="1074"/>
      <c r="T82" s="1074"/>
    </row>
    <row r="83" spans="1:20" ht="14.25" customHeight="1">
      <c r="A83" s="1133" t="s">
        <v>51</v>
      </c>
      <c r="B83" s="1097" t="s">
        <v>52</v>
      </c>
      <c r="C83" s="311">
        <v>315932</v>
      </c>
      <c r="D83" s="311">
        <v>55753</v>
      </c>
      <c r="E83" s="79">
        <v>349752.94</v>
      </c>
      <c r="F83" s="80">
        <v>61721.12</v>
      </c>
      <c r="G83" s="348">
        <v>411474.06</v>
      </c>
      <c r="H83" s="322">
        <v>21655.27</v>
      </c>
      <c r="I83" s="323">
        <v>21655.27</v>
      </c>
      <c r="J83" s="323">
        <v>3821.52</v>
      </c>
      <c r="K83" s="324">
        <v>3821.518953727677</v>
      </c>
      <c r="L83" s="1158">
        <f>SUM(H83:K87)</f>
        <v>365664.78895372764</v>
      </c>
      <c r="M83" s="1160">
        <f>L83/E84*100</f>
        <v>88.86703306491</v>
      </c>
      <c r="N83" s="1077">
        <v>310815.12686715793</v>
      </c>
      <c r="O83" s="1077">
        <f>N83/E83*100</f>
        <v>88.86705194448342</v>
      </c>
      <c r="P83" s="1077">
        <v>310308</v>
      </c>
      <c r="Q83" s="1123">
        <f>P83/E83*100</f>
        <v>88.72205620344464</v>
      </c>
      <c r="R83" s="800">
        <f>E83+F83</f>
        <v>411474.06</v>
      </c>
      <c r="S83" s="1123">
        <f>P83/E83*100</f>
        <v>88.72205620344464</v>
      </c>
      <c r="T83" s="1123">
        <f>N83/SUM(H83:I87)*100</f>
        <v>100.00002151348713</v>
      </c>
    </row>
    <row r="84" spans="1:20" ht="14.25" customHeight="1">
      <c r="A84" s="1134"/>
      <c r="B84" s="1059"/>
      <c r="C84" s="1111">
        <f>SUM(C83:D83)</f>
        <v>371685</v>
      </c>
      <c r="D84" s="1112"/>
      <c r="E84" s="1111">
        <v>411474.06</v>
      </c>
      <c r="F84" s="1112"/>
      <c r="G84" s="1031">
        <v>411474.06</v>
      </c>
      <c r="H84" s="331">
        <v>27287.41</v>
      </c>
      <c r="I84" s="332">
        <v>27287.41</v>
      </c>
      <c r="J84" s="332">
        <v>4815.42</v>
      </c>
      <c r="K84" s="333">
        <v>4815.42</v>
      </c>
      <c r="L84" s="1159"/>
      <c r="M84" s="1161"/>
      <c r="N84" s="1075"/>
      <c r="O84" s="1075"/>
      <c r="P84" s="1075"/>
      <c r="Q84" s="1124"/>
      <c r="R84" s="800"/>
      <c r="S84" s="1124"/>
      <c r="T84" s="1124"/>
    </row>
    <row r="85" spans="1:20" ht="14.25" customHeight="1">
      <c r="A85" s="1134"/>
      <c r="B85" s="1059"/>
      <c r="C85" s="1093"/>
      <c r="D85" s="1094"/>
      <c r="E85" s="1093"/>
      <c r="F85" s="1094"/>
      <c r="G85" s="1032"/>
      <c r="H85" s="331">
        <v>31596.56</v>
      </c>
      <c r="I85" s="332">
        <v>31596.56</v>
      </c>
      <c r="J85" s="332">
        <v>5575.86</v>
      </c>
      <c r="K85" s="333">
        <v>5575.86</v>
      </c>
      <c r="L85" s="1159"/>
      <c r="M85" s="1161"/>
      <c r="N85" s="1075"/>
      <c r="O85" s="1075"/>
      <c r="P85" s="1075"/>
      <c r="Q85" s="1124"/>
      <c r="R85" s="800"/>
      <c r="S85" s="1124"/>
      <c r="T85" s="1124"/>
    </row>
    <row r="86" spans="1:20" ht="14.25" customHeight="1">
      <c r="A86" s="1134"/>
      <c r="B86" s="1059"/>
      <c r="C86" s="1093"/>
      <c r="D86" s="1094"/>
      <c r="E86" s="1093"/>
      <c r="F86" s="1094"/>
      <c r="G86" s="1032"/>
      <c r="H86" s="331">
        <v>42754.18</v>
      </c>
      <c r="I86" s="332">
        <v>42754.18</v>
      </c>
      <c r="J86" s="332">
        <v>7544.86</v>
      </c>
      <c r="K86" s="333">
        <v>7544.86</v>
      </c>
      <c r="L86" s="1159"/>
      <c r="M86" s="1161"/>
      <c r="N86" s="1075"/>
      <c r="O86" s="1075"/>
      <c r="P86" s="1075"/>
      <c r="Q86" s="1124"/>
      <c r="R86" s="800"/>
      <c r="S86" s="1124"/>
      <c r="T86" s="1124"/>
    </row>
    <row r="87" spans="1:20" ht="14.25" customHeight="1" thickBot="1">
      <c r="A87" s="1090"/>
      <c r="B87" s="1060"/>
      <c r="C87" s="1095"/>
      <c r="D87" s="1096"/>
      <c r="E87" s="1095"/>
      <c r="F87" s="1096"/>
      <c r="G87" s="1033"/>
      <c r="H87" s="346">
        <v>32114.11</v>
      </c>
      <c r="I87" s="350">
        <v>32114.11</v>
      </c>
      <c r="J87" s="350">
        <v>5667.21</v>
      </c>
      <c r="K87" s="351">
        <v>5667.2</v>
      </c>
      <c r="L87" s="1113"/>
      <c r="M87" s="1126"/>
      <c r="N87" s="1076"/>
      <c r="O87" s="1076"/>
      <c r="P87" s="1076"/>
      <c r="Q87" s="1125"/>
      <c r="R87" s="800">
        <f>E84</f>
        <v>411474.06</v>
      </c>
      <c r="S87" s="1125"/>
      <c r="T87" s="1125"/>
    </row>
    <row r="88" spans="1:20" ht="14.25" customHeight="1">
      <c r="A88" s="1133" t="s">
        <v>21</v>
      </c>
      <c r="B88" s="1133" t="s">
        <v>22</v>
      </c>
      <c r="C88" s="288">
        <v>459014</v>
      </c>
      <c r="D88" s="288">
        <v>81003</v>
      </c>
      <c r="E88" s="61">
        <v>516227.46</v>
      </c>
      <c r="F88" s="80">
        <v>91098.96</v>
      </c>
      <c r="G88" s="348">
        <v>607326.428334329</v>
      </c>
      <c r="H88" s="322">
        <v>564.78</v>
      </c>
      <c r="I88" s="323">
        <v>564.78</v>
      </c>
      <c r="J88" s="323">
        <v>99.67</v>
      </c>
      <c r="K88" s="334">
        <v>99.67</v>
      </c>
      <c r="L88" s="1158">
        <f>SUM(H88:K97)</f>
        <v>607301.694454624</v>
      </c>
      <c r="M88" s="1160">
        <f>L88/E89*100</f>
        <v>99.99592878811758</v>
      </c>
      <c r="N88" s="1160">
        <f>166226.61+33614+33614+637+637+106668+106668+13500+13501</f>
        <v>475065.61</v>
      </c>
      <c r="O88" s="1160">
        <f>N88/E88*100</f>
        <v>92.02641215560288</v>
      </c>
      <c r="P88" s="1160">
        <f>150175+33614*2+637*2+106668+106668</f>
        <v>432013</v>
      </c>
      <c r="Q88" s="1123">
        <f>P88/E88*100</f>
        <v>83.68655940929605</v>
      </c>
      <c r="R88" s="800">
        <f>E88+F88</f>
        <v>607326.42</v>
      </c>
      <c r="S88" s="1154">
        <f>P88/E88*100</f>
        <v>83.68655940929605</v>
      </c>
      <c r="T88" s="1154">
        <f>N88/SUM(H88:I97)*100</f>
        <v>92.03016326624729</v>
      </c>
    </row>
    <row r="89" spans="1:20" ht="14.25" customHeight="1">
      <c r="A89" s="1134"/>
      <c r="B89" s="1134"/>
      <c r="C89" s="1129">
        <f>SUM(C88:D88)</f>
        <v>540017</v>
      </c>
      <c r="D89" s="1130"/>
      <c r="E89" s="1119">
        <f>E88+F88</f>
        <v>607326.42</v>
      </c>
      <c r="F89" s="1120"/>
      <c r="G89" s="1031">
        <v>607326.428334329</v>
      </c>
      <c r="H89" s="331">
        <v>30596.36</v>
      </c>
      <c r="I89" s="332">
        <v>30596.36</v>
      </c>
      <c r="J89" s="332">
        <v>5399.36</v>
      </c>
      <c r="K89" s="335">
        <v>5399.36</v>
      </c>
      <c r="L89" s="1159"/>
      <c r="M89" s="1161"/>
      <c r="N89" s="1161"/>
      <c r="O89" s="1161"/>
      <c r="P89" s="1161"/>
      <c r="Q89" s="1124"/>
      <c r="R89" s="800"/>
      <c r="S89" s="1155"/>
      <c r="T89" s="1155"/>
    </row>
    <row r="90" spans="1:20" ht="14.25" customHeight="1">
      <c r="A90" s="1134"/>
      <c r="B90" s="1134"/>
      <c r="C90" s="1131"/>
      <c r="D90" s="1118"/>
      <c r="E90" s="1121"/>
      <c r="F90" s="1122"/>
      <c r="G90" s="1032"/>
      <c r="H90" s="342">
        <v>670.779393215163</v>
      </c>
      <c r="I90" s="336">
        <v>670.779393215163</v>
      </c>
      <c r="J90" s="336">
        <v>118.37283409679345</v>
      </c>
      <c r="K90" s="337">
        <v>118.37283409679345</v>
      </c>
      <c r="L90" s="1159"/>
      <c r="M90" s="1161"/>
      <c r="N90" s="1161"/>
      <c r="O90" s="1161"/>
      <c r="P90" s="1161"/>
      <c r="Q90" s="1124"/>
      <c r="R90" s="800"/>
      <c r="S90" s="1155"/>
      <c r="T90" s="1155"/>
    </row>
    <row r="91" spans="1:20" ht="14.25" customHeight="1">
      <c r="A91" s="1134"/>
      <c r="B91" s="1134"/>
      <c r="C91" s="1131"/>
      <c r="D91" s="1118"/>
      <c r="E91" s="1121"/>
      <c r="F91" s="1122"/>
      <c r="G91" s="1032"/>
      <c r="H91" s="331">
        <v>43488.59</v>
      </c>
      <c r="I91" s="332">
        <v>43488.59</v>
      </c>
      <c r="J91" s="332">
        <v>7674.46</v>
      </c>
      <c r="K91" s="333">
        <v>7674.46</v>
      </c>
      <c r="L91" s="1159"/>
      <c r="M91" s="1161"/>
      <c r="N91" s="1161"/>
      <c r="O91" s="1161"/>
      <c r="P91" s="1161"/>
      <c r="Q91" s="1124"/>
      <c r="R91" s="800"/>
      <c r="S91" s="1155"/>
      <c r="T91" s="1155"/>
    </row>
    <row r="92" spans="1:20" ht="14.25" customHeight="1">
      <c r="A92" s="1134"/>
      <c r="B92" s="1134"/>
      <c r="C92" s="1131"/>
      <c r="D92" s="1118"/>
      <c r="E92" s="1121"/>
      <c r="F92" s="1122"/>
      <c r="G92" s="1032"/>
      <c r="H92" s="331">
        <v>33613.65</v>
      </c>
      <c r="I92" s="332">
        <v>33613.65</v>
      </c>
      <c r="J92" s="332">
        <v>5931.82</v>
      </c>
      <c r="K92" s="333">
        <v>5931.82</v>
      </c>
      <c r="L92" s="1159"/>
      <c r="M92" s="1161"/>
      <c r="N92" s="1161"/>
      <c r="O92" s="1161"/>
      <c r="P92" s="1161"/>
      <c r="Q92" s="1124"/>
      <c r="R92" s="800"/>
      <c r="S92" s="1155"/>
      <c r="T92" s="1155"/>
    </row>
    <row r="93" spans="1:20" ht="14.25" customHeight="1">
      <c r="A93" s="1134"/>
      <c r="B93" s="1134"/>
      <c r="C93" s="1131"/>
      <c r="D93" s="1118"/>
      <c r="E93" s="1121"/>
      <c r="F93" s="1122"/>
      <c r="G93" s="1032"/>
      <c r="H93" s="331">
        <v>636.99</v>
      </c>
      <c r="I93" s="332">
        <v>636.99</v>
      </c>
      <c r="J93" s="332">
        <v>112.41</v>
      </c>
      <c r="K93" s="333">
        <v>112.41</v>
      </c>
      <c r="L93" s="1159"/>
      <c r="M93" s="1161"/>
      <c r="N93" s="1161"/>
      <c r="O93" s="1161"/>
      <c r="P93" s="1161"/>
      <c r="Q93" s="1124"/>
      <c r="R93" s="800"/>
      <c r="S93" s="1155"/>
      <c r="T93" s="1155"/>
    </row>
    <row r="94" spans="1:20" ht="14.25" customHeight="1">
      <c r="A94" s="1134"/>
      <c r="B94" s="1134"/>
      <c r="C94" s="1131"/>
      <c r="D94" s="1118"/>
      <c r="E94" s="1121"/>
      <c r="F94" s="1122"/>
      <c r="G94" s="1032"/>
      <c r="H94" s="331">
        <v>57388.14</v>
      </c>
      <c r="I94" s="332">
        <v>57388.14</v>
      </c>
      <c r="J94" s="332">
        <v>10127.33</v>
      </c>
      <c r="K94" s="333">
        <v>10127.32</v>
      </c>
      <c r="L94" s="1159"/>
      <c r="M94" s="1161"/>
      <c r="N94" s="1161"/>
      <c r="O94" s="1161"/>
      <c r="P94" s="1161"/>
      <c r="Q94" s="1124"/>
      <c r="R94" s="800"/>
      <c r="S94" s="1155"/>
      <c r="T94" s="1155"/>
    </row>
    <row r="95" spans="1:20" ht="14.25" customHeight="1" thickBot="1">
      <c r="A95" s="1134"/>
      <c r="B95" s="1134"/>
      <c r="C95" s="1131"/>
      <c r="D95" s="1118"/>
      <c r="E95" s="1121"/>
      <c r="F95" s="1122"/>
      <c r="G95" s="1032"/>
      <c r="H95" s="331">
        <v>212.33</v>
      </c>
      <c r="I95" s="332">
        <v>212.33</v>
      </c>
      <c r="J95" s="332">
        <v>37.47</v>
      </c>
      <c r="K95" s="333">
        <v>37.47</v>
      </c>
      <c r="L95" s="1159"/>
      <c r="M95" s="1161"/>
      <c r="N95" s="1161"/>
      <c r="O95" s="1161"/>
      <c r="P95" s="1161"/>
      <c r="Q95" s="1125"/>
      <c r="R95" s="800"/>
      <c r="S95" s="1155"/>
      <c r="T95" s="1155"/>
    </row>
    <row r="96" spans="1:20" ht="14.25" customHeight="1" thickBot="1">
      <c r="A96" s="1134"/>
      <c r="B96" s="1134"/>
      <c r="C96" s="1144"/>
      <c r="D96" s="1145"/>
      <c r="E96" s="1121"/>
      <c r="F96" s="1122"/>
      <c r="G96" s="1033"/>
      <c r="H96" s="331">
        <v>78036.42</v>
      </c>
      <c r="I96" s="332">
        <v>78036.42</v>
      </c>
      <c r="J96" s="332">
        <v>13771.13</v>
      </c>
      <c r="K96" s="414">
        <v>13771.13</v>
      </c>
      <c r="L96" s="1159"/>
      <c r="M96" s="1161"/>
      <c r="N96" s="1161"/>
      <c r="O96" s="1161"/>
      <c r="P96" s="1161"/>
      <c r="Q96" s="835"/>
      <c r="R96" s="800">
        <f>E89</f>
        <v>607326.42</v>
      </c>
      <c r="S96" s="1155"/>
      <c r="T96" s="1155"/>
    </row>
    <row r="97" spans="1:20" ht="14.25" customHeight="1" thickBot="1">
      <c r="A97" s="1128"/>
      <c r="B97" s="1128"/>
      <c r="C97" s="1146"/>
      <c r="D97" s="1147"/>
      <c r="E97" s="1146"/>
      <c r="F97" s="1147"/>
      <c r="G97" s="380"/>
      <c r="H97" s="325">
        <v>12895.17</v>
      </c>
      <c r="I97" s="326">
        <v>12895.17</v>
      </c>
      <c r="J97" s="326">
        <v>2275.62</v>
      </c>
      <c r="K97" s="338">
        <v>2275.62</v>
      </c>
      <c r="L97" s="1157"/>
      <c r="M97" s="1157"/>
      <c r="N97" s="1157"/>
      <c r="O97" s="1157"/>
      <c r="P97" s="1157"/>
      <c r="Q97" s="835"/>
      <c r="R97" s="800"/>
      <c r="S97" s="1157"/>
      <c r="T97" s="1157"/>
    </row>
    <row r="98" spans="1:20" ht="12.75" customHeight="1">
      <c r="A98" s="1133" t="s">
        <v>41</v>
      </c>
      <c r="B98" s="1133" t="s">
        <v>42</v>
      </c>
      <c r="C98" s="25">
        <f>440051+440051</f>
        <v>880102</v>
      </c>
      <c r="D98" s="20">
        <v>155312</v>
      </c>
      <c r="E98" s="25">
        <v>974317.18</v>
      </c>
      <c r="F98" s="20">
        <v>171938.34</v>
      </c>
      <c r="G98" s="348">
        <v>1146255.4710880967</v>
      </c>
      <c r="H98" s="322">
        <v>9312.21</v>
      </c>
      <c r="I98" s="323">
        <v>9312.21</v>
      </c>
      <c r="J98" s="323">
        <v>1643.33</v>
      </c>
      <c r="K98" s="339">
        <v>1643.33</v>
      </c>
      <c r="L98" s="1158">
        <f>SUM(H98:K106)</f>
        <v>1140579.8499999999</v>
      </c>
      <c r="M98" s="1160">
        <f>L98/E99*100</f>
        <v>99.50485123945137</v>
      </c>
      <c r="N98" s="1160">
        <v>885219.1888733984</v>
      </c>
      <c r="O98" s="1160">
        <f>N98/E98*100</f>
        <v>90.85534023667716</v>
      </c>
      <c r="P98" s="1160">
        <v>880132.36</v>
      </c>
      <c r="Q98" s="1123">
        <f>P98/E98*100</f>
        <v>90.33324856285506</v>
      </c>
      <c r="R98" s="800">
        <f>E98+F98</f>
        <v>1146255.52</v>
      </c>
      <c r="S98" s="1123">
        <f>P98/E98*100</f>
        <v>90.33324856285506</v>
      </c>
      <c r="T98" s="1123">
        <f>N98/SUM(H98:I106)*100</f>
        <v>91.30744610248178</v>
      </c>
    </row>
    <row r="99" spans="1:20" ht="12.75" customHeight="1">
      <c r="A99" s="951"/>
      <c r="B99" s="1134"/>
      <c r="C99" s="1129">
        <f>SUM(C98:D98)</f>
        <v>1035414</v>
      </c>
      <c r="D99" s="1130"/>
      <c r="E99" s="1129">
        <f>E98+F98</f>
        <v>1146255.52</v>
      </c>
      <c r="F99" s="1130"/>
      <c r="G99" s="1091">
        <v>1146255.4710880967</v>
      </c>
      <c r="H99" s="331">
        <v>22344.81</v>
      </c>
      <c r="I99" s="332">
        <v>22344.81</v>
      </c>
      <c r="J99" s="332">
        <v>3943.2</v>
      </c>
      <c r="K99" s="414">
        <v>3943.2</v>
      </c>
      <c r="L99" s="1159"/>
      <c r="M99" s="1161"/>
      <c r="N99" s="1161"/>
      <c r="O99" s="1161"/>
      <c r="P99" s="1161"/>
      <c r="Q99" s="1124"/>
      <c r="R99" s="800"/>
      <c r="S99" s="1124"/>
      <c r="T99" s="1124"/>
    </row>
    <row r="100" spans="1:20" ht="12.75" customHeight="1">
      <c r="A100" s="951"/>
      <c r="B100" s="1134"/>
      <c r="C100" s="1131"/>
      <c r="D100" s="1118"/>
      <c r="E100" s="1131"/>
      <c r="F100" s="1118"/>
      <c r="G100" s="1092"/>
      <c r="H100" s="331">
        <v>180261.06</v>
      </c>
      <c r="I100" s="332">
        <v>180261.06</v>
      </c>
      <c r="J100" s="332">
        <v>31810.77</v>
      </c>
      <c r="K100" s="414">
        <v>31810.77</v>
      </c>
      <c r="L100" s="1159"/>
      <c r="M100" s="1161"/>
      <c r="N100" s="1161"/>
      <c r="O100" s="1161"/>
      <c r="P100" s="1161"/>
      <c r="Q100" s="1124"/>
      <c r="R100" s="800"/>
      <c r="S100" s="1124"/>
      <c r="T100" s="1124"/>
    </row>
    <row r="101" spans="1:20" ht="12.75" customHeight="1">
      <c r="A101" s="951"/>
      <c r="B101" s="1134"/>
      <c r="C101" s="1131"/>
      <c r="D101" s="1118"/>
      <c r="E101" s="1131"/>
      <c r="F101" s="1118"/>
      <c r="G101" s="1092"/>
      <c r="H101" s="325">
        <v>128329.19</v>
      </c>
      <c r="I101" s="326">
        <v>128329.19</v>
      </c>
      <c r="J101" s="326">
        <v>22646.32</v>
      </c>
      <c r="K101" s="402">
        <v>22646.32</v>
      </c>
      <c r="L101" s="1159"/>
      <c r="M101" s="1161"/>
      <c r="N101" s="1161"/>
      <c r="O101" s="1161"/>
      <c r="P101" s="1161"/>
      <c r="Q101" s="1124"/>
      <c r="R101" s="800"/>
      <c r="S101" s="1124"/>
      <c r="T101" s="1124"/>
    </row>
    <row r="102" spans="1:20" ht="12.75" customHeight="1">
      <c r="A102" s="951"/>
      <c r="B102" s="1134"/>
      <c r="C102" s="1131"/>
      <c r="D102" s="1118"/>
      <c r="E102" s="1131"/>
      <c r="F102" s="1118"/>
      <c r="G102" s="1092"/>
      <c r="H102" s="331">
        <v>73919.24</v>
      </c>
      <c r="I102" s="332">
        <v>73919.24</v>
      </c>
      <c r="J102" s="332">
        <v>13044.57</v>
      </c>
      <c r="K102" s="414">
        <v>13044.57</v>
      </c>
      <c r="L102" s="1159"/>
      <c r="M102" s="1161"/>
      <c r="N102" s="1161"/>
      <c r="O102" s="1161"/>
      <c r="P102" s="1161"/>
      <c r="Q102" s="1124"/>
      <c r="R102" s="800"/>
      <c r="S102" s="1124"/>
      <c r="T102" s="1124"/>
    </row>
    <row r="103" spans="1:20" ht="12.75" customHeight="1" thickBot="1">
      <c r="A103" s="951"/>
      <c r="B103" s="1134"/>
      <c r="C103" s="1131"/>
      <c r="D103" s="1118"/>
      <c r="E103" s="1131"/>
      <c r="F103" s="1118"/>
      <c r="G103" s="1092"/>
      <c r="H103" s="325">
        <v>48634.13</v>
      </c>
      <c r="I103" s="326">
        <v>48634.13</v>
      </c>
      <c r="J103" s="326">
        <v>8582.5</v>
      </c>
      <c r="K103" s="402">
        <v>8582.5</v>
      </c>
      <c r="L103" s="1159"/>
      <c r="M103" s="1161"/>
      <c r="N103" s="1161"/>
      <c r="O103" s="1161"/>
      <c r="P103" s="1161"/>
      <c r="Q103" s="1125"/>
      <c r="R103" s="800"/>
      <c r="S103" s="1124"/>
      <c r="T103" s="1124"/>
    </row>
    <row r="104" spans="1:20" ht="12.75" customHeight="1">
      <c r="A104" s="951"/>
      <c r="B104" s="1067"/>
      <c r="C104" s="1131"/>
      <c r="D104" s="1118"/>
      <c r="E104" s="1144"/>
      <c r="F104" s="1145"/>
      <c r="G104" s="1092"/>
      <c r="H104" s="331">
        <v>0</v>
      </c>
      <c r="I104" s="332">
        <v>0</v>
      </c>
      <c r="J104" s="332">
        <v>0</v>
      </c>
      <c r="K104" s="414">
        <v>0</v>
      </c>
      <c r="L104" s="1156"/>
      <c r="M104" s="1156"/>
      <c r="N104" s="1156"/>
      <c r="O104" s="1161"/>
      <c r="P104" s="1064"/>
      <c r="Q104" s="835"/>
      <c r="R104" s="800"/>
      <c r="S104" s="1124"/>
      <c r="T104" s="1124"/>
    </row>
    <row r="105" spans="1:20" ht="12.75" customHeight="1">
      <c r="A105" s="951"/>
      <c r="B105" s="1067"/>
      <c r="C105" s="1131"/>
      <c r="D105" s="1118"/>
      <c r="E105" s="1144"/>
      <c r="F105" s="1145"/>
      <c r="G105" s="1092"/>
      <c r="H105" s="331">
        <v>0</v>
      </c>
      <c r="I105" s="332">
        <v>0</v>
      </c>
      <c r="J105" s="332">
        <v>0</v>
      </c>
      <c r="K105" s="414">
        <v>0</v>
      </c>
      <c r="L105" s="1156"/>
      <c r="M105" s="1156"/>
      <c r="N105" s="1156"/>
      <c r="O105" s="1161"/>
      <c r="P105" s="1064"/>
      <c r="Q105" s="835"/>
      <c r="R105" s="800"/>
      <c r="S105" s="1124"/>
      <c r="T105" s="1124"/>
    </row>
    <row r="106" spans="1:20" ht="12.75" customHeight="1" thickBot="1">
      <c r="A106" s="938"/>
      <c r="B106" s="1128"/>
      <c r="C106" s="1102"/>
      <c r="D106" s="1103"/>
      <c r="E106" s="1146"/>
      <c r="F106" s="1147"/>
      <c r="G106" s="1081"/>
      <c r="H106" s="325">
        <v>21945.8</v>
      </c>
      <c r="I106" s="326">
        <v>21945.8</v>
      </c>
      <c r="J106" s="326">
        <v>3872.8</v>
      </c>
      <c r="K106" s="402">
        <v>3872.79</v>
      </c>
      <c r="L106" s="1132"/>
      <c r="M106" s="1132"/>
      <c r="N106" s="1132"/>
      <c r="O106" s="1126"/>
      <c r="P106" s="1049"/>
      <c r="Q106" s="835"/>
      <c r="R106" s="800">
        <f>E99</f>
        <v>1146255.52</v>
      </c>
      <c r="S106" s="1125"/>
      <c r="T106" s="1125"/>
    </row>
    <row r="107" spans="1:20" ht="16.5" customHeight="1">
      <c r="A107" s="1133" t="s">
        <v>205</v>
      </c>
      <c r="B107" s="1133" t="s">
        <v>204</v>
      </c>
      <c r="C107" s="412">
        <f>333322+333321</f>
        <v>666643</v>
      </c>
      <c r="D107" s="11">
        <v>117643</v>
      </c>
      <c r="E107" s="79">
        <v>666643</v>
      </c>
      <c r="F107" s="80">
        <v>117643</v>
      </c>
      <c r="G107" s="348">
        <v>784286</v>
      </c>
      <c r="H107" s="322">
        <v>262924.01</v>
      </c>
      <c r="I107" s="323">
        <v>262924.01</v>
      </c>
      <c r="J107" s="323">
        <v>46398.36</v>
      </c>
      <c r="K107" s="339">
        <v>46398.35</v>
      </c>
      <c r="L107" s="1158">
        <f>SUM(H107:K110)</f>
        <v>784285.94</v>
      </c>
      <c r="M107" s="1160">
        <f>L107/E108*100</f>
        <v>99.99999234972957</v>
      </c>
      <c r="N107" s="1160">
        <f>627429+39214</f>
        <v>666643</v>
      </c>
      <c r="O107" s="1160">
        <f>N107/E107*100</f>
        <v>100</v>
      </c>
      <c r="P107" s="1160">
        <f>264815+264816+48899*2+19607*2</f>
        <v>666643</v>
      </c>
      <c r="Q107" s="835"/>
      <c r="R107" s="800">
        <f>E107+F107</f>
        <v>784286</v>
      </c>
      <c r="S107" s="1154">
        <f>P107/E107*100</f>
        <v>100</v>
      </c>
      <c r="T107" s="1154">
        <f>N107/SUM(H107:I110)*100</f>
        <v>99.99999399978735</v>
      </c>
    </row>
    <row r="108" spans="1:20" ht="16.5" customHeight="1">
      <c r="A108" s="1134"/>
      <c r="B108" s="1134"/>
      <c r="C108" s="1119">
        <f>SUM(C107:D107)</f>
        <v>784286</v>
      </c>
      <c r="D108" s="1120"/>
      <c r="E108" s="1129">
        <v>784286</v>
      </c>
      <c r="F108" s="1130"/>
      <c r="G108" s="379">
        <v>784286</v>
      </c>
      <c r="H108" s="331">
        <v>1891.25</v>
      </c>
      <c r="I108" s="332">
        <v>1891.25</v>
      </c>
      <c r="J108" s="332">
        <v>333.75</v>
      </c>
      <c r="K108" s="414">
        <v>333.75</v>
      </c>
      <c r="L108" s="1159"/>
      <c r="M108" s="1161"/>
      <c r="N108" s="1161"/>
      <c r="O108" s="1161"/>
      <c r="P108" s="1161"/>
      <c r="Q108" s="835"/>
      <c r="R108" s="800">
        <f>E108</f>
        <v>784286</v>
      </c>
      <c r="S108" s="1155"/>
      <c r="T108" s="1155"/>
    </row>
    <row r="109" spans="1:20" ht="16.5" customHeight="1">
      <c r="A109" s="1134"/>
      <c r="B109" s="1134"/>
      <c r="C109" s="1121"/>
      <c r="D109" s="1122"/>
      <c r="E109" s="1131"/>
      <c r="F109" s="1118"/>
      <c r="G109" s="379"/>
      <c r="H109" s="331">
        <v>51840.21</v>
      </c>
      <c r="I109" s="332">
        <v>51840.21</v>
      </c>
      <c r="J109" s="332">
        <v>9148.27</v>
      </c>
      <c r="K109" s="414">
        <v>9148.27</v>
      </c>
      <c r="L109" s="1159"/>
      <c r="M109" s="1161"/>
      <c r="N109" s="1161"/>
      <c r="O109" s="1161"/>
      <c r="P109" s="1161"/>
      <c r="Q109" s="835"/>
      <c r="R109" s="800"/>
      <c r="S109" s="1155"/>
      <c r="T109" s="1155"/>
    </row>
    <row r="110" spans="1:20" ht="16.5" customHeight="1" thickBot="1">
      <c r="A110" s="1128"/>
      <c r="B110" s="1128"/>
      <c r="C110" s="1146"/>
      <c r="D110" s="1147"/>
      <c r="E110" s="1146"/>
      <c r="F110" s="1147"/>
      <c r="G110" s="379"/>
      <c r="H110" s="325">
        <v>16666.05</v>
      </c>
      <c r="I110" s="326">
        <v>16666.05</v>
      </c>
      <c r="J110" s="326">
        <v>2941.08</v>
      </c>
      <c r="K110" s="338">
        <v>2941.07</v>
      </c>
      <c r="L110" s="1132"/>
      <c r="M110" s="1132"/>
      <c r="N110" s="1049"/>
      <c r="O110" s="1132"/>
      <c r="P110" s="1132"/>
      <c r="Q110" s="835"/>
      <c r="R110" s="800"/>
      <c r="S110" s="1132"/>
      <c r="T110" s="1132"/>
    </row>
    <row r="111" spans="1:20" ht="24" customHeight="1">
      <c r="A111" s="941" t="s">
        <v>161</v>
      </c>
      <c r="B111" s="947" t="s">
        <v>162</v>
      </c>
      <c r="C111" s="265">
        <f>142688+142688</f>
        <v>285376</v>
      </c>
      <c r="D111" s="417">
        <v>50361</v>
      </c>
      <c r="E111" s="61">
        <v>286456.36</v>
      </c>
      <c r="F111" s="80">
        <v>50551.14</v>
      </c>
      <c r="G111" s="348">
        <v>337007.5</v>
      </c>
      <c r="H111" s="318">
        <v>136066.75</v>
      </c>
      <c r="I111" s="323">
        <v>136066.75</v>
      </c>
      <c r="J111" s="340">
        <v>24011.79</v>
      </c>
      <c r="K111" s="334">
        <v>24011.79</v>
      </c>
      <c r="L111" s="1158">
        <f>SUM(H111:K112)</f>
        <v>336968.7299999999</v>
      </c>
      <c r="M111" s="1160">
        <f>L111/E112*100</f>
        <v>99.98849580498948</v>
      </c>
      <c r="N111" s="1160">
        <f>268589+16787</f>
        <v>285376</v>
      </c>
      <c r="O111" s="1160">
        <f>N111/E111*100</f>
        <v>99.6228535473955</v>
      </c>
      <c r="P111" s="912">
        <f>134295+134294+8393+8394</f>
        <v>285376</v>
      </c>
      <c r="Q111" s="1123">
        <f>P111/E111*100</f>
        <v>99.6228535473955</v>
      </c>
      <c r="R111" s="800">
        <f>E111+F111</f>
        <v>337007.5</v>
      </c>
      <c r="S111" s="1073">
        <f>P111/E111*100</f>
        <v>99.6228535473955</v>
      </c>
      <c r="T111" s="1073">
        <f>N111/SUM(H111:I112)*100</f>
        <v>99.6344706443925</v>
      </c>
    </row>
    <row r="112" spans="1:20" ht="24" customHeight="1" thickBot="1">
      <c r="A112" s="942"/>
      <c r="B112" s="948"/>
      <c r="C112" s="949">
        <f>SUM(C111:D111)</f>
        <v>335737</v>
      </c>
      <c r="D112" s="950"/>
      <c r="E112" s="949">
        <v>337007.5</v>
      </c>
      <c r="F112" s="950"/>
      <c r="G112" s="665">
        <v>337007.5</v>
      </c>
      <c r="H112" s="851">
        <v>7144.73</v>
      </c>
      <c r="I112" s="852">
        <v>7144.73</v>
      </c>
      <c r="J112" s="852">
        <v>1261.1</v>
      </c>
      <c r="K112" s="852">
        <v>1261.09</v>
      </c>
      <c r="L112" s="1159"/>
      <c r="M112" s="1161"/>
      <c r="N112" s="1161"/>
      <c r="O112" s="1161"/>
      <c r="P112" s="913"/>
      <c r="Q112" s="1074"/>
      <c r="R112" s="800">
        <f>E112</f>
        <v>337007.5</v>
      </c>
      <c r="S112" s="1074"/>
      <c r="T112" s="1074"/>
    </row>
    <row r="113" spans="1:20" ht="15.75" customHeight="1">
      <c r="A113" s="1133" t="s">
        <v>67</v>
      </c>
      <c r="B113" s="1133" t="s">
        <v>68</v>
      </c>
      <c r="C113" s="25">
        <f>521775+521775</f>
        <v>1043550</v>
      </c>
      <c r="D113" s="20">
        <v>184156</v>
      </c>
      <c r="E113" s="79">
        <v>1338435.18</v>
      </c>
      <c r="F113" s="80">
        <v>236194.46</v>
      </c>
      <c r="G113" s="348">
        <v>1574629.64</v>
      </c>
      <c r="H113" s="322">
        <v>60433.55</v>
      </c>
      <c r="I113" s="323">
        <v>60433.55</v>
      </c>
      <c r="J113" s="323">
        <v>10664.76</v>
      </c>
      <c r="K113" s="324">
        <v>10664.76</v>
      </c>
      <c r="L113" s="1158">
        <f>SUM(H113:K119)</f>
        <v>1041059.4599999997</v>
      </c>
      <c r="M113" s="1160">
        <f>L113/E114*100</f>
        <v>66.1145601196736</v>
      </c>
      <c r="N113" s="1077">
        <f>772585+112315</f>
        <v>884900</v>
      </c>
      <c r="O113" s="1077">
        <f>N113/E113*100</f>
        <v>66.1145203908941</v>
      </c>
      <c r="P113" s="1077">
        <f>386293+386292+56157+56158</f>
        <v>884900</v>
      </c>
      <c r="Q113" s="1123">
        <f>P113/E113*100</f>
        <v>66.1145203908941</v>
      </c>
      <c r="R113" s="836">
        <f>E113+F113</f>
        <v>1574629.64</v>
      </c>
      <c r="S113" s="1123">
        <f>P113/E113*100</f>
        <v>66.1145203908941</v>
      </c>
      <c r="T113" s="1123">
        <f>N113/SUM(H113:I119)*100</f>
        <v>99.99994575661212</v>
      </c>
    </row>
    <row r="114" spans="1:20" ht="15.75" customHeight="1">
      <c r="A114" s="1134"/>
      <c r="B114" s="1134"/>
      <c r="C114" s="943">
        <f>SUM(C113:D113)</f>
        <v>1227706</v>
      </c>
      <c r="D114" s="944"/>
      <c r="E114" s="1129">
        <v>1574629.64</v>
      </c>
      <c r="F114" s="1130"/>
      <c r="G114" s="1016">
        <v>1574629.64</v>
      </c>
      <c r="H114" s="342">
        <v>108044.74</v>
      </c>
      <c r="I114" s="336">
        <v>108044.74</v>
      </c>
      <c r="J114" s="336">
        <v>19066.73</v>
      </c>
      <c r="K114" s="343">
        <v>19066.73</v>
      </c>
      <c r="L114" s="1159"/>
      <c r="M114" s="1161"/>
      <c r="N114" s="1075"/>
      <c r="O114" s="1075"/>
      <c r="P114" s="1075"/>
      <c r="Q114" s="1124"/>
      <c r="R114" s="833"/>
      <c r="S114" s="1124"/>
      <c r="T114" s="1124"/>
    </row>
    <row r="115" spans="1:20" ht="15.75" customHeight="1">
      <c r="A115" s="1134"/>
      <c r="B115" s="1134"/>
      <c r="C115" s="943"/>
      <c r="D115" s="944"/>
      <c r="E115" s="1131"/>
      <c r="F115" s="1118"/>
      <c r="G115" s="1017"/>
      <c r="H115" s="325">
        <v>69300.47</v>
      </c>
      <c r="I115" s="326">
        <v>69300.47</v>
      </c>
      <c r="J115" s="326">
        <v>12229.5</v>
      </c>
      <c r="K115" s="327">
        <v>12229.5</v>
      </c>
      <c r="L115" s="1159"/>
      <c r="M115" s="1161"/>
      <c r="N115" s="1075"/>
      <c r="O115" s="1075"/>
      <c r="P115" s="1075"/>
      <c r="Q115" s="1124"/>
      <c r="R115" s="833"/>
      <c r="S115" s="1124"/>
      <c r="T115" s="1124"/>
    </row>
    <row r="116" spans="1:20" ht="15.75" customHeight="1">
      <c r="A116" s="1134"/>
      <c r="B116" s="1134"/>
      <c r="C116" s="943"/>
      <c r="D116" s="944"/>
      <c r="E116" s="1131"/>
      <c r="F116" s="1118"/>
      <c r="G116" s="1017"/>
      <c r="H116" s="331">
        <v>20604.97</v>
      </c>
      <c r="I116" s="332">
        <v>20604.97</v>
      </c>
      <c r="J116" s="332">
        <v>3636.17</v>
      </c>
      <c r="K116" s="333">
        <v>3636.17</v>
      </c>
      <c r="L116" s="1159"/>
      <c r="M116" s="1161"/>
      <c r="N116" s="1075"/>
      <c r="O116" s="1075"/>
      <c r="P116" s="1075"/>
      <c r="Q116" s="1124"/>
      <c r="R116" s="833"/>
      <c r="S116" s="1124"/>
      <c r="T116" s="1124"/>
    </row>
    <row r="117" spans="1:20" ht="15.75" customHeight="1">
      <c r="A117" s="1134"/>
      <c r="B117" s="1134"/>
      <c r="C117" s="943"/>
      <c r="D117" s="944"/>
      <c r="E117" s="1131"/>
      <c r="F117" s="1118"/>
      <c r="G117" s="1017"/>
      <c r="H117" s="331">
        <v>110547.93</v>
      </c>
      <c r="I117" s="332">
        <v>110547.93</v>
      </c>
      <c r="J117" s="332">
        <v>19508.46</v>
      </c>
      <c r="K117" s="333">
        <v>19508.46</v>
      </c>
      <c r="L117" s="1159"/>
      <c r="M117" s="1161"/>
      <c r="N117" s="1075"/>
      <c r="O117" s="1075"/>
      <c r="P117" s="1075"/>
      <c r="Q117" s="1124"/>
      <c r="R117" s="833"/>
      <c r="S117" s="1124"/>
      <c r="T117" s="1124"/>
    </row>
    <row r="118" spans="1:20" ht="15.75" customHeight="1">
      <c r="A118" s="1134"/>
      <c r="B118" s="1134"/>
      <c r="C118" s="943"/>
      <c r="D118" s="944"/>
      <c r="E118" s="1131"/>
      <c r="F118" s="1118"/>
      <c r="G118" s="1017"/>
      <c r="H118" s="331">
        <v>56157.33</v>
      </c>
      <c r="I118" s="332">
        <v>56157.33</v>
      </c>
      <c r="J118" s="332">
        <v>9910.12</v>
      </c>
      <c r="K118" s="333">
        <v>9910.12</v>
      </c>
      <c r="L118" s="1159"/>
      <c r="M118" s="1161"/>
      <c r="N118" s="1075"/>
      <c r="O118" s="1075"/>
      <c r="P118" s="1075"/>
      <c r="Q118" s="1124"/>
      <c r="R118" s="833"/>
      <c r="S118" s="1124"/>
      <c r="T118" s="1124"/>
    </row>
    <row r="119" spans="1:20" ht="15.75" customHeight="1" thickBot="1">
      <c r="A119" s="1090"/>
      <c r="B119" s="1090"/>
      <c r="C119" s="945"/>
      <c r="D119" s="946"/>
      <c r="E119" s="1102"/>
      <c r="F119" s="1103"/>
      <c r="G119" s="1018"/>
      <c r="H119" s="346">
        <v>17361.25</v>
      </c>
      <c r="I119" s="350">
        <v>17361.25</v>
      </c>
      <c r="J119" s="350">
        <v>3063.75</v>
      </c>
      <c r="K119" s="351">
        <v>3063.75</v>
      </c>
      <c r="L119" s="1113"/>
      <c r="M119" s="1126"/>
      <c r="N119" s="1076"/>
      <c r="O119" s="1076"/>
      <c r="P119" s="1076"/>
      <c r="Q119" s="1125"/>
      <c r="R119" s="837">
        <f>E114</f>
        <v>1574629.64</v>
      </c>
      <c r="S119" s="1125"/>
      <c r="T119" s="1125"/>
    </row>
    <row r="120" spans="1:20" ht="15" customHeight="1" thickBot="1">
      <c r="A120" s="935" t="s">
        <v>33</v>
      </c>
      <c r="B120" s="935" t="s">
        <v>34</v>
      </c>
      <c r="C120" s="770">
        <f>219369+219368</f>
        <v>438737</v>
      </c>
      <c r="D120" s="771">
        <v>77424</v>
      </c>
      <c r="E120" s="72">
        <v>485705.12</v>
      </c>
      <c r="F120" s="863">
        <v>85712.26</v>
      </c>
      <c r="G120" s="348">
        <v>571416.2355108544</v>
      </c>
      <c r="H120" s="322">
        <v>1790.64</v>
      </c>
      <c r="I120" s="334">
        <v>1790.64</v>
      </c>
      <c r="J120" s="323">
        <v>315.99</v>
      </c>
      <c r="K120" s="324">
        <v>315.99</v>
      </c>
      <c r="L120" s="1158">
        <f>SUM(H120:K145)</f>
        <v>566004.88</v>
      </c>
      <c r="M120" s="1160">
        <f>L120/E121*100</f>
        <v>99.05279394896948</v>
      </c>
      <c r="N120" s="1160">
        <f>432831.13+7747+12904*2</f>
        <v>466386.13</v>
      </c>
      <c r="O120" s="1160">
        <f>N120/E120*100</f>
        <v>96.02248582432074</v>
      </c>
      <c r="P120" s="1160">
        <f>294190.84+23816+23816+34975+34976+581+581</f>
        <v>412935.84</v>
      </c>
      <c r="Q120" s="1123">
        <f>P120/E120*100</f>
        <v>85.01780668896389</v>
      </c>
      <c r="R120" s="836">
        <f>E120+F120</f>
        <v>571417.38</v>
      </c>
      <c r="S120" s="1154">
        <f>P120/E120*100</f>
        <v>85.01780668896389</v>
      </c>
      <c r="T120" s="1154">
        <f>N120/SUM(H120:I145)*100</f>
        <v>96.94079306328922</v>
      </c>
    </row>
    <row r="121" spans="1:20" ht="15" customHeight="1">
      <c r="A121" s="936"/>
      <c r="B121" s="936"/>
      <c r="C121" s="939">
        <f>SUM(C120:D120)</f>
        <v>516161</v>
      </c>
      <c r="D121" s="940"/>
      <c r="E121" s="939">
        <f>E120+F120</f>
        <v>571417.38</v>
      </c>
      <c r="F121" s="940"/>
      <c r="G121" s="1091">
        <v>571416.2355108544</v>
      </c>
      <c r="H121" s="331">
        <v>5959.19</v>
      </c>
      <c r="I121" s="335">
        <v>5959.19</v>
      </c>
      <c r="J121" s="332">
        <v>1051.62</v>
      </c>
      <c r="K121" s="333">
        <v>1051.62</v>
      </c>
      <c r="L121" s="1159"/>
      <c r="M121" s="1161"/>
      <c r="N121" s="1161"/>
      <c r="O121" s="1161"/>
      <c r="P121" s="1161"/>
      <c r="Q121" s="1124"/>
      <c r="R121" s="833"/>
      <c r="S121" s="1155"/>
      <c r="T121" s="1155"/>
    </row>
    <row r="122" spans="1:20" ht="15" customHeight="1">
      <c r="A122" s="936"/>
      <c r="B122" s="936"/>
      <c r="C122" s="1144"/>
      <c r="D122" s="1145"/>
      <c r="E122" s="1144"/>
      <c r="F122" s="1145"/>
      <c r="G122" s="1092"/>
      <c r="H122" s="331">
        <v>17659.85</v>
      </c>
      <c r="I122" s="335">
        <v>17659.85</v>
      </c>
      <c r="J122" s="332">
        <v>3116.44</v>
      </c>
      <c r="K122" s="333">
        <v>3116.44</v>
      </c>
      <c r="L122" s="1159"/>
      <c r="M122" s="1161"/>
      <c r="N122" s="1161"/>
      <c r="O122" s="1161"/>
      <c r="P122" s="1161"/>
      <c r="Q122" s="1124"/>
      <c r="R122" s="833"/>
      <c r="S122" s="1155"/>
      <c r="T122" s="1155"/>
    </row>
    <row r="123" spans="1:20" ht="15" customHeight="1">
      <c r="A123" s="936"/>
      <c r="B123" s="936"/>
      <c r="C123" s="1144"/>
      <c r="D123" s="1145"/>
      <c r="E123" s="1144"/>
      <c r="F123" s="1145"/>
      <c r="G123" s="1092"/>
      <c r="H123" s="413">
        <v>19152.88</v>
      </c>
      <c r="I123" s="335">
        <v>19152.88</v>
      </c>
      <c r="J123" s="332">
        <v>3379.92</v>
      </c>
      <c r="K123" s="333">
        <v>3379.92</v>
      </c>
      <c r="L123" s="1159"/>
      <c r="M123" s="1161"/>
      <c r="N123" s="1161"/>
      <c r="O123" s="1161"/>
      <c r="P123" s="1161"/>
      <c r="Q123" s="1124"/>
      <c r="R123" s="833"/>
      <c r="S123" s="1155"/>
      <c r="T123" s="1155"/>
    </row>
    <row r="124" spans="1:20" ht="15" customHeight="1">
      <c r="A124" s="936"/>
      <c r="B124" s="936"/>
      <c r="C124" s="1144"/>
      <c r="D124" s="1145"/>
      <c r="E124" s="1144"/>
      <c r="F124" s="1145"/>
      <c r="G124" s="1092"/>
      <c r="H124" s="344">
        <v>13378.93</v>
      </c>
      <c r="I124" s="337">
        <v>13378.93</v>
      </c>
      <c r="J124" s="336">
        <v>2360.99</v>
      </c>
      <c r="K124" s="343">
        <v>2360.99</v>
      </c>
      <c r="L124" s="1159"/>
      <c r="M124" s="1161"/>
      <c r="N124" s="1161"/>
      <c r="O124" s="1161"/>
      <c r="P124" s="1161"/>
      <c r="Q124" s="1124"/>
      <c r="R124" s="833"/>
      <c r="S124" s="1155"/>
      <c r="T124" s="1155"/>
    </row>
    <row r="125" spans="1:20" ht="15" customHeight="1">
      <c r="A125" s="936"/>
      <c r="B125" s="936"/>
      <c r="C125" s="1144"/>
      <c r="D125" s="1145"/>
      <c r="E125" s="1144"/>
      <c r="F125" s="1145"/>
      <c r="G125" s="1092"/>
      <c r="H125" s="413">
        <v>16507.22</v>
      </c>
      <c r="I125" s="335">
        <v>16507.22</v>
      </c>
      <c r="J125" s="332">
        <v>2913.04</v>
      </c>
      <c r="K125" s="333">
        <v>2913.04</v>
      </c>
      <c r="L125" s="1159"/>
      <c r="M125" s="1161"/>
      <c r="N125" s="1161"/>
      <c r="O125" s="1161"/>
      <c r="P125" s="1161"/>
      <c r="Q125" s="1124"/>
      <c r="R125" s="833"/>
      <c r="S125" s="1155"/>
      <c r="T125" s="1155"/>
    </row>
    <row r="126" spans="1:20" ht="15" customHeight="1">
      <c r="A126" s="936"/>
      <c r="B126" s="936"/>
      <c r="C126" s="1144"/>
      <c r="D126" s="1145"/>
      <c r="E126" s="1144"/>
      <c r="F126" s="1145"/>
      <c r="G126" s="1092"/>
      <c r="H126" s="413">
        <v>15156.9</v>
      </c>
      <c r="I126" s="335">
        <v>15156.9</v>
      </c>
      <c r="J126" s="332">
        <v>2674.75</v>
      </c>
      <c r="K126" s="333">
        <v>2674.75</v>
      </c>
      <c r="L126" s="1159"/>
      <c r="M126" s="1161"/>
      <c r="N126" s="1161"/>
      <c r="O126" s="1161"/>
      <c r="P126" s="1161"/>
      <c r="Q126" s="1124"/>
      <c r="R126" s="833"/>
      <c r="S126" s="1155"/>
      <c r="T126" s="1155"/>
    </row>
    <row r="127" spans="1:20" ht="15" customHeight="1">
      <c r="A127" s="936"/>
      <c r="B127" s="936"/>
      <c r="C127" s="1144"/>
      <c r="D127" s="1145"/>
      <c r="E127" s="1144"/>
      <c r="F127" s="1145"/>
      <c r="G127" s="1092"/>
      <c r="H127" s="413">
        <v>10052.66</v>
      </c>
      <c r="I127" s="335">
        <v>10052.66</v>
      </c>
      <c r="J127" s="332">
        <v>1774</v>
      </c>
      <c r="K127" s="333">
        <v>1774</v>
      </c>
      <c r="L127" s="1159"/>
      <c r="M127" s="1161"/>
      <c r="N127" s="1161"/>
      <c r="O127" s="1161"/>
      <c r="P127" s="1161"/>
      <c r="Q127" s="1124"/>
      <c r="R127" s="833"/>
      <c r="S127" s="1155"/>
      <c r="T127" s="1155"/>
    </row>
    <row r="128" spans="1:20" ht="15" customHeight="1">
      <c r="A128" s="936"/>
      <c r="B128" s="936"/>
      <c r="C128" s="1144"/>
      <c r="D128" s="1145"/>
      <c r="E128" s="1144"/>
      <c r="F128" s="1145"/>
      <c r="G128" s="1092"/>
      <c r="H128" s="413">
        <v>16681.53</v>
      </c>
      <c r="I128" s="335">
        <v>16681.53</v>
      </c>
      <c r="J128" s="332">
        <v>2943.8</v>
      </c>
      <c r="K128" s="333">
        <v>2943.8</v>
      </c>
      <c r="L128" s="1159"/>
      <c r="M128" s="1161"/>
      <c r="N128" s="1161"/>
      <c r="O128" s="1161"/>
      <c r="P128" s="1161"/>
      <c r="Q128" s="1124"/>
      <c r="R128" s="833"/>
      <c r="S128" s="1155"/>
      <c r="T128" s="1155"/>
    </row>
    <row r="129" spans="1:20" ht="15" customHeight="1">
      <c r="A129" s="936"/>
      <c r="B129" s="936"/>
      <c r="C129" s="1144"/>
      <c r="D129" s="1145"/>
      <c r="E129" s="1144"/>
      <c r="F129" s="1145"/>
      <c r="G129" s="1092"/>
      <c r="H129" s="344">
        <v>12921.12</v>
      </c>
      <c r="I129" s="337">
        <v>12921.12</v>
      </c>
      <c r="J129" s="332">
        <v>2280.2</v>
      </c>
      <c r="K129" s="343">
        <v>2280.2</v>
      </c>
      <c r="L129" s="1159"/>
      <c r="M129" s="1161"/>
      <c r="N129" s="1161"/>
      <c r="O129" s="1161"/>
      <c r="P129" s="1161"/>
      <c r="Q129" s="1124"/>
      <c r="R129" s="833"/>
      <c r="S129" s="1155"/>
      <c r="T129" s="1155"/>
    </row>
    <row r="130" spans="1:20" ht="15" customHeight="1">
      <c r="A130" s="936"/>
      <c r="B130" s="936"/>
      <c r="C130" s="1144"/>
      <c r="D130" s="1145"/>
      <c r="E130" s="1144"/>
      <c r="F130" s="1145"/>
      <c r="G130" s="1092"/>
      <c r="H130" s="344">
        <v>11523.9</v>
      </c>
      <c r="I130" s="337">
        <v>11523.9</v>
      </c>
      <c r="J130" s="332">
        <v>2033.63</v>
      </c>
      <c r="K130" s="343">
        <v>2033.63</v>
      </c>
      <c r="L130" s="1159"/>
      <c r="M130" s="1161"/>
      <c r="N130" s="1161"/>
      <c r="O130" s="1161"/>
      <c r="P130" s="1161"/>
      <c r="Q130" s="1124"/>
      <c r="R130" s="833"/>
      <c r="S130" s="1155"/>
      <c r="T130" s="1155"/>
    </row>
    <row r="131" spans="1:20" ht="15" customHeight="1">
      <c r="A131" s="936"/>
      <c r="B131" s="936"/>
      <c r="C131" s="1144"/>
      <c r="D131" s="1145"/>
      <c r="E131" s="1144"/>
      <c r="F131" s="1145"/>
      <c r="G131" s="1092"/>
      <c r="H131" s="413">
        <v>5423.06</v>
      </c>
      <c r="I131" s="335">
        <v>5423.06</v>
      </c>
      <c r="J131" s="332">
        <v>957.01</v>
      </c>
      <c r="K131" s="333">
        <v>957.01</v>
      </c>
      <c r="L131" s="1159"/>
      <c r="M131" s="1161"/>
      <c r="N131" s="1161"/>
      <c r="O131" s="1161"/>
      <c r="P131" s="1161"/>
      <c r="Q131" s="1124"/>
      <c r="R131" s="833"/>
      <c r="S131" s="1155"/>
      <c r="T131" s="1155"/>
    </row>
    <row r="132" spans="1:20" ht="15" customHeight="1">
      <c r="A132" s="936"/>
      <c r="B132" s="936"/>
      <c r="C132" s="1144"/>
      <c r="D132" s="1145"/>
      <c r="E132" s="1144"/>
      <c r="F132" s="1145"/>
      <c r="G132" s="1092"/>
      <c r="H132" s="413">
        <v>5462.11</v>
      </c>
      <c r="I132" s="335">
        <v>5462.11</v>
      </c>
      <c r="J132" s="332">
        <v>963.9</v>
      </c>
      <c r="K132" s="333">
        <v>963.9</v>
      </c>
      <c r="L132" s="1159"/>
      <c r="M132" s="1161"/>
      <c r="N132" s="1161"/>
      <c r="O132" s="1161"/>
      <c r="P132" s="1161"/>
      <c r="Q132" s="1124"/>
      <c r="R132" s="833"/>
      <c r="S132" s="1155"/>
      <c r="T132" s="1155"/>
    </row>
    <row r="133" spans="1:20" ht="15" customHeight="1">
      <c r="A133" s="936"/>
      <c r="B133" s="936"/>
      <c r="C133" s="1144"/>
      <c r="D133" s="1145"/>
      <c r="E133" s="1144"/>
      <c r="F133" s="1145"/>
      <c r="G133" s="1092"/>
      <c r="H133" s="413">
        <v>18680.25</v>
      </c>
      <c r="I133" s="335">
        <v>18680.25</v>
      </c>
      <c r="J133" s="332">
        <v>3296.51</v>
      </c>
      <c r="K133" s="333">
        <v>3296.51</v>
      </c>
      <c r="L133" s="1159"/>
      <c r="M133" s="1161"/>
      <c r="N133" s="1161"/>
      <c r="O133" s="1161"/>
      <c r="P133" s="1161"/>
      <c r="Q133" s="1124"/>
      <c r="R133" s="833"/>
      <c r="S133" s="1155"/>
      <c r="T133" s="1155"/>
    </row>
    <row r="134" spans="1:20" ht="15" customHeight="1">
      <c r="A134" s="936"/>
      <c r="B134" s="936"/>
      <c r="C134" s="1144"/>
      <c r="D134" s="1145"/>
      <c r="E134" s="1144"/>
      <c r="F134" s="1145"/>
      <c r="G134" s="1092"/>
      <c r="H134" s="413">
        <v>19419.08</v>
      </c>
      <c r="I134" s="335">
        <v>19419.08</v>
      </c>
      <c r="J134" s="332">
        <v>3426.9</v>
      </c>
      <c r="K134" s="333">
        <v>3426.9</v>
      </c>
      <c r="L134" s="1159"/>
      <c r="M134" s="1161"/>
      <c r="N134" s="1161"/>
      <c r="O134" s="1161"/>
      <c r="P134" s="1161"/>
      <c r="Q134" s="1124"/>
      <c r="R134" s="833"/>
      <c r="S134" s="1155"/>
      <c r="T134" s="1155"/>
    </row>
    <row r="135" spans="1:20" ht="15" customHeight="1">
      <c r="A135" s="936"/>
      <c r="B135" s="936"/>
      <c r="C135" s="1144"/>
      <c r="D135" s="1145"/>
      <c r="E135" s="1144"/>
      <c r="F135" s="1145"/>
      <c r="G135" s="1092"/>
      <c r="H135" s="413">
        <v>11193.96</v>
      </c>
      <c r="I135" s="335">
        <v>11193.96</v>
      </c>
      <c r="J135" s="332">
        <v>1975.42</v>
      </c>
      <c r="K135" s="333">
        <v>1975.41</v>
      </c>
      <c r="L135" s="1159"/>
      <c r="M135" s="1161"/>
      <c r="N135" s="1161"/>
      <c r="O135" s="1161"/>
      <c r="P135" s="1161"/>
      <c r="Q135" s="1124"/>
      <c r="R135" s="833"/>
      <c r="S135" s="1155"/>
      <c r="T135" s="1155"/>
    </row>
    <row r="136" spans="1:20" ht="15" customHeight="1">
      <c r="A136" s="936"/>
      <c r="B136" s="936"/>
      <c r="C136" s="1144"/>
      <c r="D136" s="1145"/>
      <c r="E136" s="1144"/>
      <c r="F136" s="1145"/>
      <c r="G136" s="1092"/>
      <c r="H136" s="413">
        <v>8305.11</v>
      </c>
      <c r="I136" s="335">
        <v>8305.11</v>
      </c>
      <c r="J136" s="332">
        <v>1465.61</v>
      </c>
      <c r="K136" s="333">
        <v>1465.61</v>
      </c>
      <c r="L136" s="1159"/>
      <c r="M136" s="1161"/>
      <c r="N136" s="1161"/>
      <c r="O136" s="1161"/>
      <c r="P136" s="1161"/>
      <c r="Q136" s="1124"/>
      <c r="R136" s="833"/>
      <c r="S136" s="1155"/>
      <c r="T136" s="1155"/>
    </row>
    <row r="137" spans="1:20" ht="15" customHeight="1" thickBot="1">
      <c r="A137" s="936"/>
      <c r="B137" s="936"/>
      <c r="C137" s="1144"/>
      <c r="D137" s="1145"/>
      <c r="E137" s="1144"/>
      <c r="F137" s="1145"/>
      <c r="G137" s="1092"/>
      <c r="H137" s="413">
        <v>2223.91</v>
      </c>
      <c r="I137" s="335">
        <v>2223.91</v>
      </c>
      <c r="J137" s="332">
        <v>392.46</v>
      </c>
      <c r="K137" s="414">
        <v>392.45</v>
      </c>
      <c r="L137" s="1159"/>
      <c r="M137" s="1161"/>
      <c r="N137" s="1161"/>
      <c r="O137" s="1161"/>
      <c r="P137" s="1161"/>
      <c r="Q137" s="1125"/>
      <c r="R137" s="833"/>
      <c r="S137" s="1155"/>
      <c r="T137" s="1155"/>
    </row>
    <row r="138" spans="1:20" ht="15" customHeight="1">
      <c r="A138" s="936"/>
      <c r="B138" s="936"/>
      <c r="C138" s="1144"/>
      <c r="D138" s="1145"/>
      <c r="E138" s="1144"/>
      <c r="F138" s="1145"/>
      <c r="G138" s="1092"/>
      <c r="H138" s="413">
        <v>1672.7</v>
      </c>
      <c r="I138" s="335">
        <v>1672.7</v>
      </c>
      <c r="J138" s="332">
        <v>295.19</v>
      </c>
      <c r="K138" s="414">
        <v>295.18</v>
      </c>
      <c r="L138" s="1159"/>
      <c r="M138" s="1161"/>
      <c r="N138" s="1161"/>
      <c r="O138" s="1161"/>
      <c r="P138" s="1161"/>
      <c r="Q138" s="835"/>
      <c r="R138" s="833"/>
      <c r="S138" s="1155"/>
      <c r="T138" s="1155"/>
    </row>
    <row r="139" spans="1:20" ht="16.5" customHeight="1">
      <c r="A139" s="936"/>
      <c r="B139" s="936"/>
      <c r="C139" s="1144"/>
      <c r="D139" s="1145"/>
      <c r="E139" s="1144"/>
      <c r="F139" s="1145"/>
      <c r="G139" s="1092"/>
      <c r="H139" s="413">
        <v>2975.58</v>
      </c>
      <c r="I139" s="335">
        <v>2975.58</v>
      </c>
      <c r="J139" s="332">
        <v>525.1</v>
      </c>
      <c r="K139" s="414">
        <v>525.1</v>
      </c>
      <c r="L139" s="1159"/>
      <c r="M139" s="1161"/>
      <c r="N139" s="1161"/>
      <c r="O139" s="1161"/>
      <c r="P139" s="1161"/>
      <c r="Q139" s="835"/>
      <c r="R139" s="833"/>
      <c r="S139" s="1155"/>
      <c r="T139" s="1155"/>
    </row>
    <row r="140" spans="1:20" ht="16.5" customHeight="1" thickBot="1">
      <c r="A140" s="936"/>
      <c r="B140" s="936"/>
      <c r="C140" s="1144"/>
      <c r="D140" s="1145"/>
      <c r="E140" s="1144"/>
      <c r="F140" s="1145"/>
      <c r="G140" s="1081"/>
      <c r="H140" s="413">
        <v>3443.92</v>
      </c>
      <c r="I140" s="335">
        <v>3443.92</v>
      </c>
      <c r="J140" s="332">
        <v>607.75</v>
      </c>
      <c r="K140" s="414">
        <v>607.75</v>
      </c>
      <c r="L140" s="1159"/>
      <c r="M140" s="1161"/>
      <c r="N140" s="1161"/>
      <c r="O140" s="1161"/>
      <c r="P140" s="1161"/>
      <c r="Q140" s="835"/>
      <c r="R140" s="833">
        <f>E121</f>
        <v>571417.38</v>
      </c>
      <c r="S140" s="1155"/>
      <c r="T140" s="1155"/>
    </row>
    <row r="141" spans="1:20" ht="16.5" customHeight="1">
      <c r="A141" s="936"/>
      <c r="B141" s="936"/>
      <c r="C141" s="1144"/>
      <c r="D141" s="1145"/>
      <c r="E141" s="1144"/>
      <c r="F141" s="1145"/>
      <c r="G141" s="391"/>
      <c r="H141" s="413">
        <v>2625</v>
      </c>
      <c r="I141" s="335">
        <v>2625</v>
      </c>
      <c r="J141" s="332">
        <v>463.23</v>
      </c>
      <c r="K141" s="414">
        <v>463.23</v>
      </c>
      <c r="L141" s="1159"/>
      <c r="M141" s="1161"/>
      <c r="N141" s="1161"/>
      <c r="O141" s="1161"/>
      <c r="P141" s="1161"/>
      <c r="Q141" s="835"/>
      <c r="R141" s="833"/>
      <c r="S141" s="1155"/>
      <c r="T141" s="1155"/>
    </row>
    <row r="142" spans="1:20" ht="16.5" customHeight="1" thickBot="1">
      <c r="A142" s="936"/>
      <c r="B142" s="936"/>
      <c r="C142" s="1144"/>
      <c r="D142" s="1145"/>
      <c r="E142" s="1144"/>
      <c r="F142" s="1145"/>
      <c r="G142" s="400"/>
      <c r="H142" s="413">
        <v>1379.72</v>
      </c>
      <c r="I142" s="335">
        <v>1379.72</v>
      </c>
      <c r="J142" s="332">
        <v>243.48</v>
      </c>
      <c r="K142" s="414">
        <v>243.48</v>
      </c>
      <c r="L142" s="1159"/>
      <c r="M142" s="1161"/>
      <c r="N142" s="1161"/>
      <c r="O142" s="1161"/>
      <c r="P142" s="1161"/>
      <c r="Q142" s="969"/>
      <c r="R142" s="837"/>
      <c r="S142" s="1155"/>
      <c r="T142" s="1155"/>
    </row>
    <row r="143" spans="1:20" ht="16.5" customHeight="1">
      <c r="A143" s="1067"/>
      <c r="B143" s="1067"/>
      <c r="C143" s="1144"/>
      <c r="D143" s="1145"/>
      <c r="E143" s="1144"/>
      <c r="F143" s="1145"/>
      <c r="G143" s="391"/>
      <c r="H143" s="413">
        <v>5215.17</v>
      </c>
      <c r="I143" s="335">
        <v>5215.17</v>
      </c>
      <c r="J143" s="332">
        <v>920.34</v>
      </c>
      <c r="K143" s="414">
        <v>920.33</v>
      </c>
      <c r="L143" s="1156"/>
      <c r="M143" s="1156"/>
      <c r="N143" s="1156"/>
      <c r="O143" s="1156"/>
      <c r="P143" s="1156"/>
      <c r="Q143" s="835"/>
      <c r="R143" s="833"/>
      <c r="S143" s="1156"/>
      <c r="T143" s="1156"/>
    </row>
    <row r="144" spans="1:20" ht="16.5" customHeight="1" thickBot="1">
      <c r="A144" s="1067"/>
      <c r="B144" s="1067"/>
      <c r="C144" s="1144"/>
      <c r="D144" s="1145"/>
      <c r="E144" s="1144"/>
      <c r="F144" s="1145"/>
      <c r="G144" s="391"/>
      <c r="H144" s="413">
        <v>1904.89</v>
      </c>
      <c r="I144" s="335">
        <v>1904.89</v>
      </c>
      <c r="J144" s="332">
        <v>336.16</v>
      </c>
      <c r="K144" s="414">
        <v>336.16</v>
      </c>
      <c r="L144" s="1156"/>
      <c r="M144" s="1156"/>
      <c r="N144" s="1156"/>
      <c r="O144" s="1156"/>
      <c r="P144" s="1156"/>
      <c r="Q144" s="969"/>
      <c r="R144" s="837"/>
      <c r="S144" s="1156"/>
      <c r="T144" s="1156"/>
    </row>
    <row r="145" spans="1:20" ht="16.5" customHeight="1" thickBot="1">
      <c r="A145" s="1128"/>
      <c r="B145" s="1128"/>
      <c r="C145" s="1146"/>
      <c r="D145" s="1147"/>
      <c r="E145" s="1146"/>
      <c r="F145" s="1147"/>
      <c r="G145" s="400"/>
      <c r="H145" s="349">
        <v>9842.77</v>
      </c>
      <c r="I145" s="929">
        <v>9842.77</v>
      </c>
      <c r="J145" s="929">
        <v>1736.98</v>
      </c>
      <c r="K145" s="810">
        <v>1736.96</v>
      </c>
      <c r="L145" s="1157"/>
      <c r="M145" s="1157"/>
      <c r="N145" s="1157"/>
      <c r="O145" s="1157"/>
      <c r="P145" s="1157"/>
      <c r="Q145" s="969"/>
      <c r="R145" s="837"/>
      <c r="S145" s="1157"/>
      <c r="T145" s="1157"/>
    </row>
    <row r="146" spans="1:20" ht="16.5" customHeight="1">
      <c r="A146" s="1134" t="s">
        <v>49</v>
      </c>
      <c r="B146" s="1059" t="s">
        <v>50</v>
      </c>
      <c r="C146" s="310">
        <f>405834+405833</f>
        <v>811667</v>
      </c>
      <c r="D146" s="289">
        <v>143235</v>
      </c>
      <c r="E146" s="342">
        <v>905291.58</v>
      </c>
      <c r="F146" s="343">
        <v>159757.4</v>
      </c>
      <c r="G146" s="527">
        <v>1065048.98</v>
      </c>
      <c r="H146" s="342">
        <v>343.54</v>
      </c>
      <c r="I146" s="336">
        <v>343.54</v>
      </c>
      <c r="J146" s="336">
        <v>60.63</v>
      </c>
      <c r="K146" s="713">
        <v>60.63</v>
      </c>
      <c r="L146" s="1159">
        <f>SUM(H146:K154)</f>
        <v>1052391.9</v>
      </c>
      <c r="M146" s="1161">
        <f>L146/E147*100</f>
        <v>98.81159643944261</v>
      </c>
      <c r="N146" s="1075">
        <f>764598.53+23872+23873</f>
        <v>812343.53</v>
      </c>
      <c r="O146" s="1075">
        <f>N146/E146*100</f>
        <v>89.73280520293805</v>
      </c>
      <c r="P146" s="1075">
        <f>49045+49046+103512+103511+47059+47060+92898+92897+89447+89447+23873+23872</f>
        <v>811667</v>
      </c>
      <c r="Q146" s="1073">
        <f>P146/E146*100</f>
        <v>89.65807458410251</v>
      </c>
      <c r="R146" s="800">
        <f>E146+F146</f>
        <v>1065048.98</v>
      </c>
      <c r="S146" s="1115">
        <f>P146/E146*100</f>
        <v>89.65807458410251</v>
      </c>
      <c r="T146" s="1115">
        <f>N146/SUM(H146:I154)*100</f>
        <v>90.81202076113367</v>
      </c>
    </row>
    <row r="147" spans="1:20" ht="16.5" customHeight="1">
      <c r="A147" s="1134"/>
      <c r="B147" s="1059"/>
      <c r="C147" s="1111">
        <f>SUM(C146:D146)</f>
        <v>954902</v>
      </c>
      <c r="D147" s="1112"/>
      <c r="E147" s="1111">
        <v>1065048.98</v>
      </c>
      <c r="F147" s="1112"/>
      <c r="G147" s="1031">
        <v>1065048.98</v>
      </c>
      <c r="H147" s="331">
        <v>47337.83</v>
      </c>
      <c r="I147" s="332">
        <v>47337.83</v>
      </c>
      <c r="J147" s="332">
        <v>8353.73</v>
      </c>
      <c r="K147" s="414">
        <v>8353.73</v>
      </c>
      <c r="L147" s="1159"/>
      <c r="M147" s="1161"/>
      <c r="N147" s="1075"/>
      <c r="O147" s="1075"/>
      <c r="P147" s="1075"/>
      <c r="Q147" s="1124"/>
      <c r="R147" s="800"/>
      <c r="S147" s="1115"/>
      <c r="T147" s="1115"/>
    </row>
    <row r="148" spans="1:20" ht="16.5" customHeight="1">
      <c r="A148" s="1134"/>
      <c r="B148" s="1059"/>
      <c r="C148" s="1093"/>
      <c r="D148" s="1094"/>
      <c r="E148" s="1093"/>
      <c r="F148" s="1094"/>
      <c r="G148" s="1032"/>
      <c r="H148" s="331">
        <v>103139.04</v>
      </c>
      <c r="I148" s="332">
        <v>103139.04</v>
      </c>
      <c r="J148" s="332">
        <v>18201.02</v>
      </c>
      <c r="K148" s="414">
        <v>18201.02</v>
      </c>
      <c r="L148" s="1159"/>
      <c r="M148" s="1161"/>
      <c r="N148" s="1075"/>
      <c r="O148" s="1075"/>
      <c r="P148" s="1075"/>
      <c r="Q148" s="1124"/>
      <c r="R148" s="800"/>
      <c r="S148" s="1115"/>
      <c r="T148" s="1115"/>
    </row>
    <row r="149" spans="1:20" ht="16.5" customHeight="1">
      <c r="A149" s="1134"/>
      <c r="B149" s="1059"/>
      <c r="C149" s="1093"/>
      <c r="D149" s="1094"/>
      <c r="E149" s="1093"/>
      <c r="F149" s="1094"/>
      <c r="G149" s="1032"/>
      <c r="H149" s="331">
        <v>21192.69</v>
      </c>
      <c r="I149" s="332">
        <v>21192.69</v>
      </c>
      <c r="J149" s="332">
        <v>3739.89</v>
      </c>
      <c r="K149" s="414">
        <v>3739.89</v>
      </c>
      <c r="L149" s="1159"/>
      <c r="M149" s="1161"/>
      <c r="N149" s="1075"/>
      <c r="O149" s="1075"/>
      <c r="P149" s="1075"/>
      <c r="Q149" s="1124"/>
      <c r="R149" s="800"/>
      <c r="S149" s="1115"/>
      <c r="T149" s="1115"/>
    </row>
    <row r="150" spans="1:20" ht="16.5" customHeight="1">
      <c r="A150" s="1134"/>
      <c r="B150" s="1059"/>
      <c r="C150" s="1093"/>
      <c r="D150" s="1094"/>
      <c r="E150" s="1093"/>
      <c r="F150" s="1094"/>
      <c r="G150" s="1032"/>
      <c r="H150" s="331">
        <v>26915.34</v>
      </c>
      <c r="I150" s="332">
        <v>26915.34</v>
      </c>
      <c r="J150" s="332">
        <v>4749.77</v>
      </c>
      <c r="K150" s="414">
        <v>4749.77</v>
      </c>
      <c r="L150" s="1159"/>
      <c r="M150" s="1161"/>
      <c r="N150" s="1075"/>
      <c r="O150" s="1075"/>
      <c r="P150" s="1075"/>
      <c r="Q150" s="1124"/>
      <c r="R150" s="779"/>
      <c r="S150" s="1115"/>
      <c r="T150" s="1115"/>
    </row>
    <row r="151" spans="1:20" ht="16.5" customHeight="1" thickBot="1">
      <c r="A151" s="1134"/>
      <c r="B151" s="1059"/>
      <c r="C151" s="1093"/>
      <c r="D151" s="1094"/>
      <c r="E151" s="1093"/>
      <c r="F151" s="1094"/>
      <c r="G151" s="1032"/>
      <c r="H151" s="331">
        <v>23063.54</v>
      </c>
      <c r="I151" s="332">
        <v>23063.54</v>
      </c>
      <c r="J151" s="332">
        <v>4070.04</v>
      </c>
      <c r="K151" s="414">
        <v>4070.04</v>
      </c>
      <c r="L151" s="1159"/>
      <c r="M151" s="1161"/>
      <c r="N151" s="1075"/>
      <c r="O151" s="1075"/>
      <c r="P151" s="1075"/>
      <c r="Q151" s="1125"/>
      <c r="R151" s="779"/>
      <c r="S151" s="1115"/>
      <c r="T151" s="1115"/>
    </row>
    <row r="152" spans="1:20" ht="16.5" customHeight="1">
      <c r="A152" s="1134"/>
      <c r="B152" s="1059"/>
      <c r="C152" s="1093"/>
      <c r="D152" s="1094"/>
      <c r="E152" s="1093"/>
      <c r="F152" s="1094"/>
      <c r="G152" s="1032"/>
      <c r="H152" s="331">
        <v>69673.34</v>
      </c>
      <c r="I152" s="332">
        <v>69673.34</v>
      </c>
      <c r="J152" s="332">
        <v>12295.3</v>
      </c>
      <c r="K152" s="414">
        <v>12295.3</v>
      </c>
      <c r="L152" s="1159"/>
      <c r="M152" s="1161"/>
      <c r="N152" s="1075"/>
      <c r="O152" s="1075"/>
      <c r="P152" s="1075"/>
      <c r="Q152" s="835"/>
      <c r="R152" s="779"/>
      <c r="S152" s="1115"/>
      <c r="T152" s="1115"/>
    </row>
    <row r="153" spans="1:20" ht="16.5" customHeight="1" thickBot="1">
      <c r="A153" s="1134"/>
      <c r="B153" s="1059"/>
      <c r="C153" s="1093"/>
      <c r="D153" s="1094"/>
      <c r="E153" s="1093"/>
      <c r="F153" s="1094"/>
      <c r="G153" s="1033"/>
      <c r="H153" s="331">
        <v>138348.13</v>
      </c>
      <c r="I153" s="332">
        <v>138348.13</v>
      </c>
      <c r="J153" s="332">
        <v>24414.38</v>
      </c>
      <c r="K153" s="414">
        <v>24414.38</v>
      </c>
      <c r="L153" s="1159"/>
      <c r="M153" s="1161"/>
      <c r="N153" s="1075"/>
      <c r="O153" s="1075"/>
      <c r="P153" s="1075"/>
      <c r="Q153" s="835"/>
      <c r="R153" s="779">
        <f>E147</f>
        <v>1065048.98</v>
      </c>
      <c r="S153" s="1115"/>
      <c r="T153" s="1115"/>
    </row>
    <row r="154" spans="1:20" ht="16.5" customHeight="1" thickBot="1">
      <c r="A154" s="1090"/>
      <c r="B154" s="1060"/>
      <c r="C154" s="1095"/>
      <c r="D154" s="1096"/>
      <c r="E154" s="1095"/>
      <c r="F154" s="1096"/>
      <c r="G154" s="380"/>
      <c r="H154" s="325">
        <v>17253.07</v>
      </c>
      <c r="I154" s="326">
        <v>17253.07</v>
      </c>
      <c r="J154" s="326">
        <v>3044.67</v>
      </c>
      <c r="K154" s="402">
        <v>3044.67</v>
      </c>
      <c r="L154" s="1113"/>
      <c r="M154" s="1126"/>
      <c r="N154" s="1076"/>
      <c r="O154" s="1076"/>
      <c r="P154" s="1076"/>
      <c r="Q154" s="835"/>
      <c r="R154" s="779"/>
      <c r="S154" s="1116"/>
      <c r="T154" s="1116"/>
    </row>
    <row r="155" spans="1:20" ht="16.5" customHeight="1">
      <c r="A155" s="1133" t="s">
        <v>65</v>
      </c>
      <c r="B155" s="1133" t="s">
        <v>66</v>
      </c>
      <c r="C155" s="19">
        <f>265638+265637</f>
        <v>531275</v>
      </c>
      <c r="D155" s="19">
        <v>93754</v>
      </c>
      <c r="E155" s="79">
        <v>588147.82</v>
      </c>
      <c r="F155" s="80">
        <v>103790.8</v>
      </c>
      <c r="G155" s="348">
        <v>691938.62</v>
      </c>
      <c r="H155" s="322">
        <v>185771.10303392418</v>
      </c>
      <c r="I155" s="323">
        <v>185771.10303392418</v>
      </c>
      <c r="J155" s="323">
        <v>32783.13582951603</v>
      </c>
      <c r="K155" s="324">
        <v>32783.13582951603</v>
      </c>
      <c r="L155" s="1158">
        <f>SUM(H155:K158)</f>
        <v>691938.5977268803</v>
      </c>
      <c r="M155" s="1160">
        <f>L155/E156*100</f>
        <v>99.99999678105557</v>
      </c>
      <c r="N155" s="1077">
        <f>533819.21+3</f>
        <v>533822.21</v>
      </c>
      <c r="O155" s="1077">
        <f>N155/E155*100</f>
        <v>90.76327274323656</v>
      </c>
      <c r="P155" s="1077">
        <f>368995+65515+65514+15625+15626</f>
        <v>531275</v>
      </c>
      <c r="Q155" s="1083">
        <f>P155/E155*100</f>
        <v>90.33018264013968</v>
      </c>
      <c r="R155" s="779">
        <f>E155+F155</f>
        <v>691938.62</v>
      </c>
      <c r="S155" s="1123">
        <f>P155/E155*100</f>
        <v>90.33018264013968</v>
      </c>
      <c r="T155" s="1123">
        <f>N155/SUM(H155:I158)*100</f>
        <v>90.7632748932534</v>
      </c>
    </row>
    <row r="156" spans="1:20" ht="16.5" customHeight="1" thickBot="1">
      <c r="A156" s="1134"/>
      <c r="B156" s="1134"/>
      <c r="C156" s="1111">
        <f>SUM(C155:D155)</f>
        <v>625029</v>
      </c>
      <c r="D156" s="1112"/>
      <c r="E156" s="1129">
        <v>691938.62</v>
      </c>
      <c r="F156" s="1130"/>
      <c r="G156" s="1016">
        <v>691938.62</v>
      </c>
      <c r="H156" s="325">
        <v>93599.09</v>
      </c>
      <c r="I156" s="326">
        <v>93599.09</v>
      </c>
      <c r="J156" s="326">
        <v>16517.49</v>
      </c>
      <c r="K156" s="327">
        <v>16517.49</v>
      </c>
      <c r="L156" s="1159"/>
      <c r="M156" s="1161"/>
      <c r="N156" s="1075"/>
      <c r="O156" s="1075"/>
      <c r="P156" s="1075"/>
      <c r="Q156" s="1085"/>
      <c r="R156" s="779"/>
      <c r="S156" s="1124"/>
      <c r="T156" s="1124"/>
    </row>
    <row r="157" spans="1:20" ht="16.5" customHeight="1">
      <c r="A157" s="1134"/>
      <c r="B157" s="1134"/>
      <c r="C157" s="1093"/>
      <c r="D157" s="1094"/>
      <c r="E157" s="1131"/>
      <c r="F157" s="1118"/>
      <c r="G157" s="1017"/>
      <c r="H157" s="331">
        <v>0</v>
      </c>
      <c r="I157" s="332">
        <v>0</v>
      </c>
      <c r="J157" s="332">
        <v>0</v>
      </c>
      <c r="K157" s="333">
        <v>0</v>
      </c>
      <c r="L157" s="1159"/>
      <c r="M157" s="1161"/>
      <c r="N157" s="1075"/>
      <c r="O157" s="1075"/>
      <c r="P157" s="1075"/>
      <c r="Q157" s="838"/>
      <c r="R157" s="779"/>
      <c r="S157" s="1124"/>
      <c r="T157" s="1124"/>
    </row>
    <row r="158" spans="1:20" ht="16.5" customHeight="1" thickBot="1">
      <c r="A158" s="1090"/>
      <c r="B158" s="1090"/>
      <c r="C158" s="1093"/>
      <c r="D158" s="1094"/>
      <c r="E158" s="1102"/>
      <c r="F158" s="1103"/>
      <c r="G158" s="1018"/>
      <c r="H158" s="325">
        <v>14703.71</v>
      </c>
      <c r="I158" s="326">
        <v>14703.71</v>
      </c>
      <c r="J158" s="326">
        <v>2594.77</v>
      </c>
      <c r="K158" s="345">
        <v>2594.77</v>
      </c>
      <c r="L158" s="1113"/>
      <c r="M158" s="1126"/>
      <c r="N158" s="1076"/>
      <c r="O158" s="1076"/>
      <c r="P158" s="1076"/>
      <c r="Q158" s="838"/>
      <c r="R158" s="779">
        <f>E156</f>
        <v>691938.62</v>
      </c>
      <c r="S158" s="1125"/>
      <c r="T158" s="1125"/>
    </row>
    <row r="159" spans="1:20" ht="16.5" customHeight="1" thickBot="1">
      <c r="A159" s="935" t="s">
        <v>25</v>
      </c>
      <c r="B159" s="935" t="s">
        <v>26</v>
      </c>
      <c r="C159" s="770">
        <f>204911+204911</f>
        <v>409822</v>
      </c>
      <c r="D159" s="771">
        <v>72321</v>
      </c>
      <c r="E159" s="898">
        <v>457910.26</v>
      </c>
      <c r="F159" s="806">
        <v>80807.7</v>
      </c>
      <c r="G159" s="361">
        <v>538717.96</v>
      </c>
      <c r="H159" s="322">
        <v>959.23</v>
      </c>
      <c r="I159" s="323">
        <v>959.23</v>
      </c>
      <c r="J159" s="323">
        <v>169.28</v>
      </c>
      <c r="K159" s="334">
        <v>169.28</v>
      </c>
      <c r="L159" s="1158">
        <f>SUM(H159:K182)</f>
        <v>511782.06000000023</v>
      </c>
      <c r="M159" s="1160">
        <f>L159/E160*100</f>
        <v>94.99999962874827</v>
      </c>
      <c r="N159" s="1160">
        <f>228845.73+15747+15746+20966*2</f>
        <v>302270.73</v>
      </c>
      <c r="O159" s="1160">
        <f>N159/E159*100</f>
        <v>66.01091008530797</v>
      </c>
      <c r="P159" s="1160">
        <f>228802+15747+15746+20966*2</f>
        <v>302227</v>
      </c>
      <c r="Q159" s="1083">
        <f>P159/E159*100</f>
        <v>66.00136017917572</v>
      </c>
      <c r="R159" s="779">
        <f>E159+F159</f>
        <v>538717.96</v>
      </c>
      <c r="S159" s="1154">
        <f>P159/E159*100</f>
        <v>66.00136017917572</v>
      </c>
      <c r="T159" s="1154">
        <f>N159/SUM(H159:I182)*100</f>
        <v>69.48516962896475</v>
      </c>
    </row>
    <row r="160" spans="1:20" ht="16.5" customHeight="1">
      <c r="A160" s="936"/>
      <c r="B160" s="936"/>
      <c r="C160" s="1012">
        <f>SUM(C159:D159)</f>
        <v>482143</v>
      </c>
      <c r="D160" s="989"/>
      <c r="E160" s="1012">
        <v>538717.96</v>
      </c>
      <c r="F160" s="989"/>
      <c r="G160" s="996">
        <v>538717.96</v>
      </c>
      <c r="H160" s="331">
        <v>261.17</v>
      </c>
      <c r="I160" s="332">
        <v>261.17</v>
      </c>
      <c r="J160" s="332">
        <v>46.09</v>
      </c>
      <c r="K160" s="335">
        <v>46.09</v>
      </c>
      <c r="L160" s="1159"/>
      <c r="M160" s="1161"/>
      <c r="N160" s="1161"/>
      <c r="O160" s="1161"/>
      <c r="P160" s="1161"/>
      <c r="Q160" s="1084"/>
      <c r="R160" s="779"/>
      <c r="S160" s="1155"/>
      <c r="T160" s="1155"/>
    </row>
    <row r="161" spans="1:20" ht="16.5" customHeight="1">
      <c r="A161" s="936"/>
      <c r="B161" s="936"/>
      <c r="C161" s="1137"/>
      <c r="D161" s="1138"/>
      <c r="E161" s="1137"/>
      <c r="F161" s="1138"/>
      <c r="G161" s="997"/>
      <c r="H161" s="342">
        <v>1376.72</v>
      </c>
      <c r="I161" s="336">
        <v>1376.72</v>
      </c>
      <c r="J161" s="336">
        <v>242.95</v>
      </c>
      <c r="K161" s="337">
        <v>242.95</v>
      </c>
      <c r="L161" s="1159"/>
      <c r="M161" s="1161"/>
      <c r="N161" s="1161"/>
      <c r="O161" s="1161"/>
      <c r="P161" s="1161"/>
      <c r="Q161" s="1084"/>
      <c r="R161" s="779"/>
      <c r="S161" s="1155"/>
      <c r="T161" s="1155"/>
    </row>
    <row r="162" spans="1:20" ht="16.5" customHeight="1">
      <c r="A162" s="936"/>
      <c r="B162" s="936"/>
      <c r="C162" s="1137"/>
      <c r="D162" s="1138"/>
      <c r="E162" s="1137"/>
      <c r="F162" s="1138"/>
      <c r="G162" s="997"/>
      <c r="H162" s="342">
        <v>382.31</v>
      </c>
      <c r="I162" s="336">
        <v>382.31</v>
      </c>
      <c r="J162" s="336">
        <v>67.47</v>
      </c>
      <c r="K162" s="337">
        <v>67.47</v>
      </c>
      <c r="L162" s="1159"/>
      <c r="M162" s="1161"/>
      <c r="N162" s="1161"/>
      <c r="O162" s="1161"/>
      <c r="P162" s="1161"/>
      <c r="Q162" s="1084"/>
      <c r="R162" s="779"/>
      <c r="S162" s="1155"/>
      <c r="T162" s="1155"/>
    </row>
    <row r="163" spans="1:20" ht="16.5" customHeight="1">
      <c r="A163" s="936"/>
      <c r="B163" s="936"/>
      <c r="C163" s="1137"/>
      <c r="D163" s="1138"/>
      <c r="E163" s="1137"/>
      <c r="F163" s="1138"/>
      <c r="G163" s="997"/>
      <c r="H163" s="331">
        <v>27488.96</v>
      </c>
      <c r="I163" s="332">
        <v>27488.96</v>
      </c>
      <c r="J163" s="332">
        <v>4850.99</v>
      </c>
      <c r="K163" s="333">
        <v>4850.99</v>
      </c>
      <c r="L163" s="1159"/>
      <c r="M163" s="1161"/>
      <c r="N163" s="1161"/>
      <c r="O163" s="1161"/>
      <c r="P163" s="1161"/>
      <c r="Q163" s="1084"/>
      <c r="R163" s="779"/>
      <c r="S163" s="1155"/>
      <c r="T163" s="1155"/>
    </row>
    <row r="164" spans="1:20" ht="16.5" customHeight="1">
      <c r="A164" s="936"/>
      <c r="B164" s="936"/>
      <c r="C164" s="1137"/>
      <c r="D164" s="1138"/>
      <c r="E164" s="1137"/>
      <c r="F164" s="1138"/>
      <c r="G164" s="997"/>
      <c r="H164" s="331">
        <v>3460.84</v>
      </c>
      <c r="I164" s="332">
        <v>3460.84</v>
      </c>
      <c r="J164" s="332">
        <v>610.74</v>
      </c>
      <c r="K164" s="333">
        <v>610.74</v>
      </c>
      <c r="L164" s="1159"/>
      <c r="M164" s="1161"/>
      <c r="N164" s="1161"/>
      <c r="O164" s="1161"/>
      <c r="P164" s="1161"/>
      <c r="Q164" s="1084"/>
      <c r="R164" s="779"/>
      <c r="S164" s="1155"/>
      <c r="T164" s="1155"/>
    </row>
    <row r="165" spans="1:20" ht="16.5" customHeight="1">
      <c r="A165" s="936"/>
      <c r="B165" s="936"/>
      <c r="C165" s="1137"/>
      <c r="D165" s="1138"/>
      <c r="E165" s="1137"/>
      <c r="F165" s="1138"/>
      <c r="G165" s="997"/>
      <c r="H165" s="331">
        <v>9481.65</v>
      </c>
      <c r="I165" s="332">
        <v>9481.65</v>
      </c>
      <c r="J165" s="332">
        <v>1673.23</v>
      </c>
      <c r="K165" s="333">
        <v>1673.23</v>
      </c>
      <c r="L165" s="1159"/>
      <c r="M165" s="1161"/>
      <c r="N165" s="1161"/>
      <c r="O165" s="1161"/>
      <c r="P165" s="1161"/>
      <c r="Q165" s="1084"/>
      <c r="R165" s="779"/>
      <c r="S165" s="1155"/>
      <c r="T165" s="1155"/>
    </row>
    <row r="166" spans="1:20" ht="16.5" customHeight="1">
      <c r="A166" s="936"/>
      <c r="B166" s="936"/>
      <c r="C166" s="1137"/>
      <c r="D166" s="1138"/>
      <c r="E166" s="1137"/>
      <c r="F166" s="1138"/>
      <c r="G166" s="997"/>
      <c r="H166" s="331">
        <v>15558.23</v>
      </c>
      <c r="I166" s="332">
        <v>15558.23</v>
      </c>
      <c r="J166" s="332">
        <v>2745.57</v>
      </c>
      <c r="K166" s="333">
        <v>2745.57</v>
      </c>
      <c r="L166" s="1159"/>
      <c r="M166" s="1161"/>
      <c r="N166" s="1161"/>
      <c r="O166" s="1161"/>
      <c r="P166" s="1161"/>
      <c r="Q166" s="1084"/>
      <c r="R166" s="779"/>
      <c r="S166" s="1155"/>
      <c r="T166" s="1155"/>
    </row>
    <row r="167" spans="1:20" ht="16.5" customHeight="1" thickBot="1">
      <c r="A167" s="936"/>
      <c r="B167" s="936"/>
      <c r="C167" s="1137"/>
      <c r="D167" s="1138"/>
      <c r="E167" s="1137"/>
      <c r="F167" s="1138"/>
      <c r="G167" s="997"/>
      <c r="H167" s="331">
        <v>775.89</v>
      </c>
      <c r="I167" s="332">
        <v>775.89</v>
      </c>
      <c r="J167" s="332">
        <v>136.92</v>
      </c>
      <c r="K167" s="333">
        <v>136.92</v>
      </c>
      <c r="L167" s="1159"/>
      <c r="M167" s="1161"/>
      <c r="N167" s="1161"/>
      <c r="O167" s="1161"/>
      <c r="P167" s="1161"/>
      <c r="Q167" s="1085"/>
      <c r="R167" s="779"/>
      <c r="S167" s="1155"/>
      <c r="T167" s="1155"/>
    </row>
    <row r="168" spans="1:20" ht="16.5" customHeight="1">
      <c r="A168" s="936"/>
      <c r="B168" s="936"/>
      <c r="C168" s="1137"/>
      <c r="D168" s="1138"/>
      <c r="E168" s="1137"/>
      <c r="F168" s="1138"/>
      <c r="G168" s="997"/>
      <c r="H168" s="342">
        <v>680.17</v>
      </c>
      <c r="I168" s="336">
        <v>680.17</v>
      </c>
      <c r="J168" s="336">
        <v>120.04</v>
      </c>
      <c r="K168" s="343">
        <v>120.03</v>
      </c>
      <c r="L168" s="1159"/>
      <c r="M168" s="1161"/>
      <c r="N168" s="1161"/>
      <c r="O168" s="1161"/>
      <c r="P168" s="1161"/>
      <c r="Q168" s="838"/>
      <c r="R168" s="779"/>
      <c r="S168" s="1155"/>
      <c r="T168" s="1155"/>
    </row>
    <row r="169" spans="1:20" ht="16.5" customHeight="1">
      <c r="A169" s="936"/>
      <c r="B169" s="936"/>
      <c r="C169" s="1137"/>
      <c r="D169" s="1138"/>
      <c r="E169" s="1137"/>
      <c r="F169" s="1138"/>
      <c r="G169" s="997"/>
      <c r="H169" s="331">
        <v>775.89</v>
      </c>
      <c r="I169" s="332">
        <v>775.89</v>
      </c>
      <c r="J169" s="332">
        <v>136.92</v>
      </c>
      <c r="K169" s="333">
        <v>136.92</v>
      </c>
      <c r="L169" s="1159"/>
      <c r="M169" s="1161"/>
      <c r="N169" s="1161"/>
      <c r="O169" s="1161"/>
      <c r="P169" s="1161"/>
      <c r="Q169" s="838"/>
      <c r="R169" s="779"/>
      <c r="S169" s="1155"/>
      <c r="T169" s="1155"/>
    </row>
    <row r="170" spans="1:20" ht="16.5" customHeight="1">
      <c r="A170" s="936"/>
      <c r="B170" s="936"/>
      <c r="C170" s="1137"/>
      <c r="D170" s="1138"/>
      <c r="E170" s="1137"/>
      <c r="F170" s="1138"/>
      <c r="G170" s="997"/>
      <c r="H170" s="331">
        <v>51009.18</v>
      </c>
      <c r="I170" s="332">
        <v>51009.18</v>
      </c>
      <c r="J170" s="332">
        <v>9001.62</v>
      </c>
      <c r="K170" s="333">
        <v>9001.62</v>
      </c>
      <c r="L170" s="1159"/>
      <c r="M170" s="1161"/>
      <c r="N170" s="1161"/>
      <c r="O170" s="1161"/>
      <c r="P170" s="1161"/>
      <c r="Q170" s="838"/>
      <c r="R170" s="779"/>
      <c r="S170" s="1155"/>
      <c r="T170" s="1155"/>
    </row>
    <row r="171" spans="1:20" ht="16.5" customHeight="1" thickBot="1">
      <c r="A171" s="936"/>
      <c r="B171" s="936"/>
      <c r="C171" s="1137"/>
      <c r="D171" s="1138"/>
      <c r="E171" s="1137"/>
      <c r="F171" s="1138"/>
      <c r="G171" s="998"/>
      <c r="H171" s="331">
        <v>1759.53</v>
      </c>
      <c r="I171" s="332">
        <v>1759.53</v>
      </c>
      <c r="J171" s="332">
        <v>310.5</v>
      </c>
      <c r="K171" s="333">
        <v>310.5</v>
      </c>
      <c r="L171" s="1159"/>
      <c r="M171" s="1161"/>
      <c r="N171" s="1161"/>
      <c r="O171" s="1161"/>
      <c r="P171" s="1161"/>
      <c r="Q171" s="838"/>
      <c r="R171" s="779">
        <f>E160</f>
        <v>538717.96</v>
      </c>
      <c r="S171" s="1155"/>
      <c r="T171" s="1155"/>
    </row>
    <row r="172" spans="1:20" ht="16.5" customHeight="1">
      <c r="A172" s="936"/>
      <c r="B172" s="936"/>
      <c r="C172" s="1137"/>
      <c r="D172" s="1138"/>
      <c r="E172" s="1137"/>
      <c r="F172" s="1138"/>
      <c r="G172" s="391"/>
      <c r="H172" s="342">
        <v>454.32</v>
      </c>
      <c r="I172" s="336">
        <v>454.32</v>
      </c>
      <c r="J172" s="336">
        <v>80.17</v>
      </c>
      <c r="K172" s="343">
        <v>80.17</v>
      </c>
      <c r="L172" s="1159"/>
      <c r="M172" s="1161"/>
      <c r="N172" s="1161"/>
      <c r="O172" s="1161"/>
      <c r="P172" s="1161"/>
      <c r="Q172" s="838"/>
      <c r="R172" s="779"/>
      <c r="S172" s="1155"/>
      <c r="T172" s="1155"/>
    </row>
    <row r="173" spans="1:20" ht="16.5" customHeight="1">
      <c r="A173" s="936"/>
      <c r="B173" s="936"/>
      <c r="C173" s="1137"/>
      <c r="D173" s="1138"/>
      <c r="E173" s="1137"/>
      <c r="F173" s="1138"/>
      <c r="G173" s="391"/>
      <c r="H173" s="331">
        <v>12333.96</v>
      </c>
      <c r="I173" s="332">
        <v>12333.96</v>
      </c>
      <c r="J173" s="332">
        <v>2176.59</v>
      </c>
      <c r="K173" s="333">
        <v>2176.58</v>
      </c>
      <c r="L173" s="1159"/>
      <c r="M173" s="1161"/>
      <c r="N173" s="1161"/>
      <c r="O173" s="1161"/>
      <c r="P173" s="1161"/>
      <c r="Q173" s="838"/>
      <c r="R173" s="779"/>
      <c r="S173" s="1155"/>
      <c r="T173" s="1155"/>
    </row>
    <row r="174" spans="1:20" ht="16.5" customHeight="1">
      <c r="A174" s="936"/>
      <c r="B174" s="936"/>
      <c r="C174" s="1137"/>
      <c r="D174" s="1138"/>
      <c r="E174" s="1137"/>
      <c r="F174" s="1138"/>
      <c r="G174" s="391"/>
      <c r="H174" s="331">
        <v>2409.1</v>
      </c>
      <c r="I174" s="332">
        <v>2409.1</v>
      </c>
      <c r="J174" s="332">
        <v>425.13</v>
      </c>
      <c r="K174" s="333">
        <v>425.13</v>
      </c>
      <c r="L174" s="1159"/>
      <c r="M174" s="1161"/>
      <c r="N174" s="1161"/>
      <c r="O174" s="1161"/>
      <c r="P174" s="1161"/>
      <c r="Q174" s="838"/>
      <c r="R174" s="779"/>
      <c r="S174" s="1155"/>
      <c r="T174" s="1155"/>
    </row>
    <row r="175" spans="1:20" ht="16.5" customHeight="1">
      <c r="A175" s="936"/>
      <c r="B175" s="936"/>
      <c r="C175" s="1137"/>
      <c r="D175" s="1138"/>
      <c r="E175" s="1137"/>
      <c r="F175" s="1138"/>
      <c r="G175" s="391"/>
      <c r="H175" s="331">
        <v>20487.71</v>
      </c>
      <c r="I175" s="332">
        <v>20487.71</v>
      </c>
      <c r="J175" s="332">
        <v>3615.49</v>
      </c>
      <c r="K175" s="333">
        <v>3615.48</v>
      </c>
      <c r="L175" s="1159"/>
      <c r="M175" s="1161"/>
      <c r="N175" s="1161"/>
      <c r="O175" s="1161"/>
      <c r="P175" s="1161"/>
      <c r="Q175" s="838"/>
      <c r="R175" s="779"/>
      <c r="S175" s="1155"/>
      <c r="T175" s="1155"/>
    </row>
    <row r="176" spans="1:20" ht="16.5" customHeight="1">
      <c r="A176" s="936"/>
      <c r="B176" s="936"/>
      <c r="C176" s="1137"/>
      <c r="D176" s="1138"/>
      <c r="E176" s="1137"/>
      <c r="F176" s="1138"/>
      <c r="G176" s="391"/>
      <c r="H176" s="331">
        <v>1003.09</v>
      </c>
      <c r="I176" s="332">
        <v>1003.09</v>
      </c>
      <c r="J176" s="332">
        <v>177.02</v>
      </c>
      <c r="K176" s="333">
        <v>177.02</v>
      </c>
      <c r="L176" s="1159"/>
      <c r="M176" s="1161"/>
      <c r="N176" s="1161"/>
      <c r="O176" s="1161"/>
      <c r="P176" s="1161"/>
      <c r="Q176" s="838"/>
      <c r="R176" s="779"/>
      <c r="S176" s="1155"/>
      <c r="T176" s="1155"/>
    </row>
    <row r="177" spans="1:20" ht="16.5" customHeight="1">
      <c r="A177" s="936"/>
      <c r="B177" s="936"/>
      <c r="C177" s="1137"/>
      <c r="D177" s="1138"/>
      <c r="E177" s="1137"/>
      <c r="F177" s="1138"/>
      <c r="G177" s="391"/>
      <c r="H177" s="331">
        <v>16801.18</v>
      </c>
      <c r="I177" s="332">
        <v>16801.18</v>
      </c>
      <c r="J177" s="332">
        <v>2964.93</v>
      </c>
      <c r="K177" s="333">
        <v>2964.92</v>
      </c>
      <c r="L177" s="1159"/>
      <c r="M177" s="1161"/>
      <c r="N177" s="1161"/>
      <c r="O177" s="1161"/>
      <c r="P177" s="1161"/>
      <c r="Q177" s="838"/>
      <c r="R177" s="779"/>
      <c r="S177" s="1155"/>
      <c r="T177" s="1155"/>
    </row>
    <row r="178" spans="1:20" ht="16.5" customHeight="1">
      <c r="A178" s="937"/>
      <c r="B178" s="937"/>
      <c r="C178" s="1137"/>
      <c r="D178" s="1138"/>
      <c r="E178" s="1137"/>
      <c r="F178" s="1138"/>
      <c r="G178" s="391"/>
      <c r="H178" s="331">
        <v>775.89</v>
      </c>
      <c r="I178" s="332">
        <v>775.89</v>
      </c>
      <c r="J178" s="332">
        <v>136.92</v>
      </c>
      <c r="K178" s="333">
        <v>136.92</v>
      </c>
      <c r="L178" s="1159"/>
      <c r="M178" s="1161"/>
      <c r="N178" s="1161"/>
      <c r="O178" s="1161"/>
      <c r="P178" s="1161"/>
      <c r="Q178" s="838"/>
      <c r="R178" s="779"/>
      <c r="S178" s="1155"/>
      <c r="T178" s="1155"/>
    </row>
    <row r="179" spans="1:20" ht="16.5" customHeight="1">
      <c r="A179" s="1067"/>
      <c r="B179" s="1067"/>
      <c r="C179" s="1144"/>
      <c r="D179" s="1145"/>
      <c r="E179" s="1144"/>
      <c r="F179" s="1145"/>
      <c r="G179" s="391"/>
      <c r="H179" s="331">
        <v>478.85</v>
      </c>
      <c r="I179" s="332">
        <v>478.85</v>
      </c>
      <c r="J179" s="332">
        <v>84.5</v>
      </c>
      <c r="K179" s="333">
        <v>84.5</v>
      </c>
      <c r="L179" s="1156"/>
      <c r="M179" s="1156"/>
      <c r="N179" s="1156"/>
      <c r="O179" s="1156"/>
      <c r="P179" s="1156"/>
      <c r="Q179" s="838"/>
      <c r="R179" s="779"/>
      <c r="S179" s="1156"/>
      <c r="T179" s="1156"/>
    </row>
    <row r="180" spans="1:20" ht="16.5" customHeight="1">
      <c r="A180" s="1067"/>
      <c r="B180" s="1067"/>
      <c r="C180" s="1144"/>
      <c r="D180" s="1145"/>
      <c r="E180" s="1144"/>
      <c r="F180" s="1145"/>
      <c r="G180" s="391"/>
      <c r="H180" s="331">
        <v>18199.14</v>
      </c>
      <c r="I180" s="332">
        <v>18199.14</v>
      </c>
      <c r="J180" s="332">
        <v>3211.61</v>
      </c>
      <c r="K180" s="333">
        <v>3211.61</v>
      </c>
      <c r="L180" s="1156"/>
      <c r="M180" s="1156"/>
      <c r="N180" s="1156"/>
      <c r="O180" s="1156"/>
      <c r="P180" s="1156"/>
      <c r="Q180" s="838"/>
      <c r="R180" s="779"/>
      <c r="S180" s="1156"/>
      <c r="T180" s="1156"/>
    </row>
    <row r="181" spans="1:20" ht="16.5" customHeight="1">
      <c r="A181" s="1067"/>
      <c r="B181" s="1067"/>
      <c r="C181" s="1144"/>
      <c r="D181" s="1145"/>
      <c r="E181" s="1144"/>
      <c r="F181" s="1145"/>
      <c r="G181" s="391"/>
      <c r="H181" s="331">
        <v>11409</v>
      </c>
      <c r="I181" s="332">
        <v>11409</v>
      </c>
      <c r="J181" s="332">
        <v>2013.35</v>
      </c>
      <c r="K181" s="333">
        <v>2013.35</v>
      </c>
      <c r="L181" s="1127"/>
      <c r="M181" s="1127"/>
      <c r="N181" s="1156"/>
      <c r="O181" s="1127"/>
      <c r="P181" s="1127"/>
      <c r="Q181" s="838"/>
      <c r="R181" s="779"/>
      <c r="S181" s="1127"/>
      <c r="T181" s="1127"/>
    </row>
    <row r="182" spans="1:20" ht="16.5" customHeight="1" thickBot="1">
      <c r="A182" s="1128"/>
      <c r="B182" s="1128"/>
      <c r="C182" s="1146"/>
      <c r="D182" s="1147"/>
      <c r="E182" s="1146"/>
      <c r="F182" s="1147"/>
      <c r="G182" s="391"/>
      <c r="H182" s="325">
        <v>19185.36</v>
      </c>
      <c r="I182" s="326">
        <v>19185.36</v>
      </c>
      <c r="J182" s="326">
        <v>3385.65</v>
      </c>
      <c r="K182" s="345">
        <v>3385.65</v>
      </c>
      <c r="L182" s="1157"/>
      <c r="M182" s="1157"/>
      <c r="N182" s="1132"/>
      <c r="O182" s="1157"/>
      <c r="P182" s="1157"/>
      <c r="Q182" s="838"/>
      <c r="R182" s="779"/>
      <c r="S182" s="1157"/>
      <c r="T182" s="1157"/>
    </row>
    <row r="183" spans="1:20" ht="16.5" customHeight="1">
      <c r="A183" s="1133" t="s">
        <v>15</v>
      </c>
      <c r="B183" s="1097" t="s">
        <v>16</v>
      </c>
      <c r="C183" s="311">
        <f>161126+161126</f>
        <v>322252</v>
      </c>
      <c r="D183" s="415">
        <v>56868</v>
      </c>
      <c r="E183" s="25">
        <v>356952.48</v>
      </c>
      <c r="F183" s="20">
        <v>62991.62</v>
      </c>
      <c r="G183" s="38">
        <v>419944.1</v>
      </c>
      <c r="H183" s="322">
        <v>36145.77</v>
      </c>
      <c r="I183" s="323">
        <v>36145.77</v>
      </c>
      <c r="J183" s="323">
        <v>6378.66</v>
      </c>
      <c r="K183" s="324">
        <v>6378.66</v>
      </c>
      <c r="L183" s="1019">
        <f>SUM(H183:K187)</f>
        <v>352075.12000000005</v>
      </c>
      <c r="M183" s="1077">
        <f>L183/E184*100</f>
        <v>83.83856803798412</v>
      </c>
      <c r="N183" s="1077">
        <f>212364.7+16511+16510+1522+1521+6035*2</f>
        <v>260498.7</v>
      </c>
      <c r="O183" s="1077">
        <f>N183/E183*100</f>
        <v>72.97853764736416</v>
      </c>
      <c r="P183" s="1077">
        <f>117725.79+45304+45305+16511+16510+1521+1522+6035*2</f>
        <v>256468.78999999998</v>
      </c>
      <c r="Q183" s="1083">
        <f>P183/E183*100</f>
        <v>71.84956103960954</v>
      </c>
      <c r="R183" s="779">
        <f>E183+F183</f>
        <v>419944.1</v>
      </c>
      <c r="S183" s="1123">
        <f>P183/E183*100</f>
        <v>71.84956103960954</v>
      </c>
      <c r="T183" s="1123">
        <f>N183/SUM(H183:I187)*100</f>
        <v>87.04649468866707</v>
      </c>
    </row>
    <row r="184" spans="1:20" ht="16.5" customHeight="1">
      <c r="A184" s="1134"/>
      <c r="B184" s="1059"/>
      <c r="C184" s="1119">
        <f>SUM(C183:D183)</f>
        <v>379120</v>
      </c>
      <c r="D184" s="1065"/>
      <c r="E184" s="990">
        <v>419944.1</v>
      </c>
      <c r="F184" s="991"/>
      <c r="G184" s="815">
        <v>419944.1</v>
      </c>
      <c r="H184" s="331">
        <v>25236.51</v>
      </c>
      <c r="I184" s="332">
        <v>25236.51</v>
      </c>
      <c r="J184" s="332">
        <v>4453.5</v>
      </c>
      <c r="K184" s="333">
        <v>4453.5</v>
      </c>
      <c r="L184" s="1020"/>
      <c r="M184" s="1075"/>
      <c r="N184" s="1075"/>
      <c r="O184" s="1075"/>
      <c r="P184" s="1075"/>
      <c r="Q184" s="1084"/>
      <c r="R184" s="779"/>
      <c r="S184" s="1124"/>
      <c r="T184" s="1124"/>
    </row>
    <row r="185" spans="1:20" ht="16.5" customHeight="1" thickBot="1">
      <c r="A185" s="1134"/>
      <c r="B185" s="1059"/>
      <c r="C185" s="1121"/>
      <c r="D185" s="1058"/>
      <c r="E185" s="992"/>
      <c r="F185" s="993"/>
      <c r="G185" s="816"/>
      <c r="H185" s="331">
        <v>37929.47</v>
      </c>
      <c r="I185" s="332">
        <v>37929.47</v>
      </c>
      <c r="J185" s="332">
        <v>6693.44</v>
      </c>
      <c r="K185" s="333">
        <v>6693.44</v>
      </c>
      <c r="L185" s="1020"/>
      <c r="M185" s="1075"/>
      <c r="N185" s="1075"/>
      <c r="O185" s="1075"/>
      <c r="P185" s="1075"/>
      <c r="Q185" s="1085"/>
      <c r="R185" s="779"/>
      <c r="S185" s="1124"/>
      <c r="T185" s="1124"/>
    </row>
    <row r="186" spans="1:20" ht="16.5" customHeight="1">
      <c r="A186" s="1134"/>
      <c r="B186" s="1059"/>
      <c r="C186" s="1121"/>
      <c r="D186" s="1058"/>
      <c r="E186" s="992"/>
      <c r="F186" s="993"/>
      <c r="G186" s="816"/>
      <c r="H186" s="331">
        <v>27112.56</v>
      </c>
      <c r="I186" s="332">
        <v>27112.56</v>
      </c>
      <c r="J186" s="332">
        <v>4784.57</v>
      </c>
      <c r="K186" s="333">
        <v>4784.57</v>
      </c>
      <c r="L186" s="1020"/>
      <c r="M186" s="1075"/>
      <c r="N186" s="1075"/>
      <c r="O186" s="1075"/>
      <c r="P186" s="1075"/>
      <c r="Q186" s="838"/>
      <c r="R186" s="779"/>
      <c r="S186" s="1124"/>
      <c r="T186" s="1124"/>
    </row>
    <row r="187" spans="1:20" ht="16.5" customHeight="1" thickBot="1">
      <c r="A187" s="959"/>
      <c r="B187" s="954"/>
      <c r="C187" s="1146"/>
      <c r="D187" s="1107"/>
      <c r="E187" s="994"/>
      <c r="F187" s="995"/>
      <c r="G187" s="817"/>
      <c r="H187" s="325">
        <v>23207.62</v>
      </c>
      <c r="I187" s="326">
        <v>23207.62</v>
      </c>
      <c r="J187" s="326">
        <v>4095.46</v>
      </c>
      <c r="K187" s="327">
        <v>4095.46</v>
      </c>
      <c r="L187" s="1078"/>
      <c r="M187" s="1078"/>
      <c r="N187" s="1078"/>
      <c r="O187" s="1076"/>
      <c r="P187" s="1078"/>
      <c r="Q187" s="838"/>
      <c r="R187" s="779">
        <f>E184</f>
        <v>419944.1</v>
      </c>
      <c r="S187" s="1125"/>
      <c r="T187" s="1125"/>
    </row>
    <row r="188" spans="1:20" ht="16.5" customHeight="1">
      <c r="A188" s="1133" t="s">
        <v>11</v>
      </c>
      <c r="B188" s="1133" t="s">
        <v>12</v>
      </c>
      <c r="C188" s="265">
        <f>149385+149384</f>
        <v>298769</v>
      </c>
      <c r="D188" s="267">
        <v>52724</v>
      </c>
      <c r="E188" s="61">
        <v>330752.4</v>
      </c>
      <c r="F188" s="80">
        <v>58368.12</v>
      </c>
      <c r="G188" s="348">
        <v>389120.5246763593</v>
      </c>
      <c r="H188" s="322">
        <v>45875.75</v>
      </c>
      <c r="I188" s="323">
        <v>45875.75</v>
      </c>
      <c r="J188" s="323">
        <v>8095.72</v>
      </c>
      <c r="K188" s="324">
        <v>8095.72</v>
      </c>
      <c r="L188" s="1158">
        <f>SUM(H188:K195)</f>
        <v>369664.49</v>
      </c>
      <c r="M188" s="1160">
        <f>L188/E189*100</f>
        <v>94.99999897204084</v>
      </c>
      <c r="N188" s="1160">
        <f>158174.18+31912+31912+6001+52985</f>
        <v>280984.18</v>
      </c>
      <c r="O188" s="1160">
        <f>N188/E188*100</f>
        <v>84.95302830757993</v>
      </c>
      <c r="P188" s="1160">
        <f>156139+31912+31912+3000+3001+26492+26493</f>
        <v>278949</v>
      </c>
      <c r="Q188" s="1083">
        <f>P188/E188*100</f>
        <v>84.33771002115176</v>
      </c>
      <c r="R188" s="779">
        <f>E188+F188</f>
        <v>389120.52</v>
      </c>
      <c r="S188" s="1154">
        <f>P188/E188*100</f>
        <v>84.33771002115176</v>
      </c>
      <c r="T188" s="1154">
        <f>N188/SUM(H188:I195)*100</f>
        <v>89.42422893993351</v>
      </c>
    </row>
    <row r="189" spans="1:20" ht="16.5" customHeight="1">
      <c r="A189" s="1134"/>
      <c r="B189" s="1134"/>
      <c r="C189" s="1129">
        <f>SUM(C188:D188)</f>
        <v>351493</v>
      </c>
      <c r="D189" s="1130"/>
      <c r="E189" s="1129">
        <v>389120.52</v>
      </c>
      <c r="F189" s="1130"/>
      <c r="G189" s="1031">
        <v>389120.5246763593</v>
      </c>
      <c r="H189" s="331">
        <v>8323.37</v>
      </c>
      <c r="I189" s="332">
        <v>8323.37</v>
      </c>
      <c r="J189" s="332">
        <v>1468.84</v>
      </c>
      <c r="K189" s="333">
        <v>1468.84</v>
      </c>
      <c r="L189" s="1159"/>
      <c r="M189" s="1161"/>
      <c r="N189" s="1161"/>
      <c r="O189" s="1161"/>
      <c r="P189" s="1161"/>
      <c r="Q189" s="1084"/>
      <c r="R189" s="779"/>
      <c r="S189" s="1155"/>
      <c r="T189" s="1155"/>
    </row>
    <row r="190" spans="1:20" ht="16.5" customHeight="1" thickBot="1">
      <c r="A190" s="1134"/>
      <c r="B190" s="1134"/>
      <c r="C190" s="1131"/>
      <c r="D190" s="1118"/>
      <c r="E190" s="1131"/>
      <c r="F190" s="1118"/>
      <c r="G190" s="1032"/>
      <c r="H190" s="331">
        <v>24085.6</v>
      </c>
      <c r="I190" s="332">
        <v>24085.6</v>
      </c>
      <c r="J190" s="332">
        <v>4250.4</v>
      </c>
      <c r="K190" s="333">
        <v>4250.4</v>
      </c>
      <c r="L190" s="1159"/>
      <c r="M190" s="1161"/>
      <c r="N190" s="1161"/>
      <c r="O190" s="1161"/>
      <c r="P190" s="1161"/>
      <c r="Q190" s="1085"/>
      <c r="R190" s="779"/>
      <c r="S190" s="1155"/>
      <c r="T190" s="1155"/>
    </row>
    <row r="191" spans="1:20" ht="16.5" customHeight="1">
      <c r="A191" s="1134"/>
      <c r="B191" s="1134"/>
      <c r="C191" s="1131"/>
      <c r="D191" s="1118"/>
      <c r="E191" s="1131"/>
      <c r="F191" s="1118"/>
      <c r="G191" s="1032"/>
      <c r="H191" s="331">
        <v>3065.36</v>
      </c>
      <c r="I191" s="332">
        <v>3065.36</v>
      </c>
      <c r="J191" s="332">
        <v>540.94</v>
      </c>
      <c r="K191" s="333">
        <v>540.94</v>
      </c>
      <c r="L191" s="1159"/>
      <c r="M191" s="1161"/>
      <c r="N191" s="1161"/>
      <c r="O191" s="1161"/>
      <c r="P191" s="1161"/>
      <c r="Q191" s="838"/>
      <c r="R191" s="779"/>
      <c r="S191" s="1155"/>
      <c r="T191" s="1155"/>
    </row>
    <row r="192" spans="1:20" ht="16.5" customHeight="1" thickBot="1">
      <c r="A192" s="1134"/>
      <c r="B192" s="1134"/>
      <c r="C192" s="1131"/>
      <c r="D192" s="1118"/>
      <c r="E192" s="1131"/>
      <c r="F192" s="1118"/>
      <c r="G192" s="1033"/>
      <c r="H192" s="331">
        <v>56472.26</v>
      </c>
      <c r="I192" s="332">
        <v>56472.26</v>
      </c>
      <c r="J192" s="332">
        <v>9965.69</v>
      </c>
      <c r="K192" s="333">
        <v>9965.69</v>
      </c>
      <c r="L192" s="1159"/>
      <c r="M192" s="1161"/>
      <c r="N192" s="1161"/>
      <c r="O192" s="1161"/>
      <c r="P192" s="1161"/>
      <c r="Q192" s="838"/>
      <c r="R192" s="779">
        <f>E189</f>
        <v>389120.52</v>
      </c>
      <c r="S192" s="1155"/>
      <c r="T192" s="1155"/>
    </row>
    <row r="193" spans="1:20" ht="16.5" customHeight="1">
      <c r="A193" s="1134"/>
      <c r="B193" s="1134"/>
      <c r="C193" s="1131"/>
      <c r="D193" s="1118"/>
      <c r="E193" s="1131"/>
      <c r="F193" s="1118"/>
      <c r="G193" s="380"/>
      <c r="H193" s="331">
        <v>7427.43</v>
      </c>
      <c r="I193" s="332">
        <v>7427.43</v>
      </c>
      <c r="J193" s="332">
        <v>1310.73</v>
      </c>
      <c r="K193" s="333">
        <v>1310.72</v>
      </c>
      <c r="L193" s="1159"/>
      <c r="M193" s="1161"/>
      <c r="N193" s="1161"/>
      <c r="O193" s="1161"/>
      <c r="P193" s="1161"/>
      <c r="Q193" s="838"/>
      <c r="R193" s="779"/>
      <c r="S193" s="1155"/>
      <c r="T193" s="1155"/>
    </row>
    <row r="194" spans="1:20" ht="16.5" customHeight="1">
      <c r="A194" s="1134"/>
      <c r="B194" s="1134"/>
      <c r="C194" s="1131"/>
      <c r="D194" s="1118"/>
      <c r="E194" s="1131"/>
      <c r="F194" s="1118"/>
      <c r="G194" s="380"/>
      <c r="H194" s="857">
        <v>4250</v>
      </c>
      <c r="I194" s="858">
        <v>4250</v>
      </c>
      <c r="J194" s="858">
        <v>750</v>
      </c>
      <c r="K194" s="859">
        <v>750</v>
      </c>
      <c r="L194" s="1159"/>
      <c r="M194" s="1161"/>
      <c r="N194" s="1161"/>
      <c r="O194" s="1161"/>
      <c r="P194" s="1161"/>
      <c r="Q194" s="838"/>
      <c r="R194" s="779"/>
      <c r="S194" s="1155"/>
      <c r="T194" s="1155"/>
    </row>
    <row r="195" spans="1:20" ht="16.5" customHeight="1" thickBot="1">
      <c r="A195" s="1128"/>
      <c r="B195" s="1128"/>
      <c r="C195" s="1146"/>
      <c r="D195" s="1147"/>
      <c r="E195" s="1146"/>
      <c r="F195" s="1147"/>
      <c r="G195" s="380"/>
      <c r="H195" s="860">
        <v>7607.64</v>
      </c>
      <c r="I195" s="861">
        <v>7607.64</v>
      </c>
      <c r="J195" s="861">
        <v>1342.52</v>
      </c>
      <c r="K195" s="865">
        <v>1342.52</v>
      </c>
      <c r="L195" s="1132"/>
      <c r="M195" s="1132"/>
      <c r="N195" s="1132"/>
      <c r="O195" s="1132"/>
      <c r="P195" s="1132"/>
      <c r="Q195" s="838"/>
      <c r="R195" s="779"/>
      <c r="S195" s="1132"/>
      <c r="T195" s="1132"/>
    </row>
    <row r="196" spans="1:20" ht="15" customHeight="1">
      <c r="A196" s="1133" t="s">
        <v>55</v>
      </c>
      <c r="B196" s="1133" t="s">
        <v>56</v>
      </c>
      <c r="C196" s="311">
        <f>203152+203152</f>
        <v>406304</v>
      </c>
      <c r="D196" s="311">
        <v>71701</v>
      </c>
      <c r="E196" s="46">
        <v>453980.24</v>
      </c>
      <c r="F196" s="20">
        <v>80114.22</v>
      </c>
      <c r="G196" s="368">
        <v>534094.46</v>
      </c>
      <c r="H196" s="804">
        <v>555.36</v>
      </c>
      <c r="I196" s="805">
        <v>555.36</v>
      </c>
      <c r="J196" s="805">
        <v>98.01</v>
      </c>
      <c r="K196" s="806">
        <v>98.01</v>
      </c>
      <c r="L196" s="1158">
        <f>SUM(H196:K208)</f>
        <v>530681.4900000001</v>
      </c>
      <c r="M196" s="1160">
        <f>L196/E197*100</f>
        <v>99.36098007831801</v>
      </c>
      <c r="N196" s="1160">
        <v>406486.36</v>
      </c>
      <c r="O196" s="1160">
        <f>N196/E196*100</f>
        <v>89.53833761575173</v>
      </c>
      <c r="P196" s="1160">
        <f>8355.99+79152+79151+91177*2+16699+16698</f>
        <v>382409.99</v>
      </c>
      <c r="Q196" s="1083">
        <f>P196/E196*100</f>
        <v>84.23494159129041</v>
      </c>
      <c r="R196" s="779">
        <f>E196+F196</f>
        <v>534094.46</v>
      </c>
      <c r="S196" s="1154">
        <f>P196/E196*100</f>
        <v>84.23494159129041</v>
      </c>
      <c r="T196" s="1154">
        <f>N196/SUM(H196:I208)*100</f>
        <v>90.11418437763547</v>
      </c>
    </row>
    <row r="197" spans="1:20" ht="15" customHeight="1">
      <c r="A197" s="1134"/>
      <c r="B197" s="1134"/>
      <c r="C197" s="1129">
        <f>SUM(C196:D196)</f>
        <v>478005</v>
      </c>
      <c r="D197" s="1130"/>
      <c r="E197" s="1129">
        <v>534094.46</v>
      </c>
      <c r="F197" s="1130"/>
      <c r="G197" s="1091">
        <v>534094.46</v>
      </c>
      <c r="H197" s="331">
        <v>2400.59</v>
      </c>
      <c r="I197" s="332">
        <v>2400.59</v>
      </c>
      <c r="J197" s="332">
        <v>423.63</v>
      </c>
      <c r="K197" s="335">
        <v>423.63</v>
      </c>
      <c r="L197" s="1159"/>
      <c r="M197" s="1161"/>
      <c r="N197" s="1161"/>
      <c r="O197" s="1161"/>
      <c r="P197" s="1161"/>
      <c r="Q197" s="1084"/>
      <c r="R197" s="779"/>
      <c r="S197" s="1155"/>
      <c r="T197" s="1155"/>
    </row>
    <row r="198" spans="1:20" ht="15" customHeight="1">
      <c r="A198" s="1134"/>
      <c r="B198" s="1134"/>
      <c r="C198" s="1131"/>
      <c r="D198" s="1118"/>
      <c r="E198" s="1131"/>
      <c r="F198" s="1118"/>
      <c r="G198" s="1092"/>
      <c r="H198" s="342">
        <v>27746.8</v>
      </c>
      <c r="I198" s="336">
        <v>27746.8</v>
      </c>
      <c r="J198" s="336">
        <v>4896.5</v>
      </c>
      <c r="K198" s="337">
        <v>4896.5</v>
      </c>
      <c r="L198" s="1159"/>
      <c r="M198" s="1161"/>
      <c r="N198" s="1161"/>
      <c r="O198" s="1161"/>
      <c r="P198" s="1161"/>
      <c r="Q198" s="1084"/>
      <c r="R198" s="779"/>
      <c r="S198" s="1155"/>
      <c r="T198" s="1155"/>
    </row>
    <row r="199" spans="1:20" ht="15" customHeight="1">
      <c r="A199" s="1134"/>
      <c r="B199" s="1134"/>
      <c r="C199" s="1131"/>
      <c r="D199" s="1118"/>
      <c r="E199" s="1131"/>
      <c r="F199" s="1118"/>
      <c r="G199" s="1092"/>
      <c r="H199" s="331">
        <v>19404.51</v>
      </c>
      <c r="I199" s="332">
        <v>19404.51</v>
      </c>
      <c r="J199" s="332">
        <v>3424.33</v>
      </c>
      <c r="K199" s="335">
        <v>3424.33</v>
      </c>
      <c r="L199" s="1159"/>
      <c r="M199" s="1161"/>
      <c r="N199" s="1161"/>
      <c r="O199" s="1161"/>
      <c r="P199" s="1161"/>
      <c r="Q199" s="1084"/>
      <c r="R199" s="779"/>
      <c r="S199" s="1155"/>
      <c r="T199" s="1155"/>
    </row>
    <row r="200" spans="1:20" ht="15" customHeight="1">
      <c r="A200" s="1134"/>
      <c r="B200" s="1134"/>
      <c r="C200" s="1131"/>
      <c r="D200" s="1118"/>
      <c r="E200" s="1131"/>
      <c r="F200" s="1118"/>
      <c r="G200" s="1092"/>
      <c r="H200" s="331">
        <v>33310.84</v>
      </c>
      <c r="I200" s="332">
        <v>33310.84</v>
      </c>
      <c r="J200" s="332">
        <v>5878.39</v>
      </c>
      <c r="K200" s="335">
        <v>5878.39</v>
      </c>
      <c r="L200" s="1159"/>
      <c r="M200" s="1161"/>
      <c r="N200" s="1161"/>
      <c r="O200" s="1161"/>
      <c r="P200" s="1161"/>
      <c r="Q200" s="1084"/>
      <c r="R200" s="779"/>
      <c r="S200" s="1155"/>
      <c r="T200" s="1155"/>
    </row>
    <row r="201" spans="1:20" ht="15" customHeight="1">
      <c r="A201" s="1134"/>
      <c r="B201" s="1134"/>
      <c r="C201" s="1131"/>
      <c r="D201" s="1118"/>
      <c r="E201" s="1131"/>
      <c r="F201" s="1118"/>
      <c r="G201" s="1092"/>
      <c r="H201" s="331">
        <v>14383.72</v>
      </c>
      <c r="I201" s="332">
        <v>14383.72</v>
      </c>
      <c r="J201" s="332">
        <v>2538.31</v>
      </c>
      <c r="K201" s="335">
        <v>2538.31</v>
      </c>
      <c r="L201" s="1159"/>
      <c r="M201" s="1161"/>
      <c r="N201" s="1161"/>
      <c r="O201" s="1161"/>
      <c r="P201" s="1161"/>
      <c r="Q201" s="1084"/>
      <c r="R201" s="779"/>
      <c r="S201" s="1155"/>
      <c r="T201" s="1155"/>
    </row>
    <row r="202" spans="1:20" ht="15" customHeight="1">
      <c r="A202" s="1134"/>
      <c r="B202" s="1134"/>
      <c r="C202" s="1131"/>
      <c r="D202" s="1118"/>
      <c r="E202" s="1131"/>
      <c r="F202" s="1118"/>
      <c r="G202" s="1092"/>
      <c r="H202" s="331">
        <v>21566.86</v>
      </c>
      <c r="I202" s="335">
        <v>21566.86</v>
      </c>
      <c r="J202" s="332">
        <v>3805.92</v>
      </c>
      <c r="K202" s="335">
        <v>3805.92</v>
      </c>
      <c r="L202" s="1159"/>
      <c r="M202" s="1161"/>
      <c r="N202" s="1161"/>
      <c r="O202" s="1161"/>
      <c r="P202" s="1161"/>
      <c r="Q202" s="1084"/>
      <c r="R202" s="779"/>
      <c r="S202" s="1155"/>
      <c r="T202" s="1155"/>
    </row>
    <row r="203" spans="1:20" ht="15" customHeight="1">
      <c r="A203" s="1134"/>
      <c r="B203" s="1134"/>
      <c r="C203" s="1131"/>
      <c r="D203" s="1118"/>
      <c r="E203" s="1131"/>
      <c r="F203" s="1118"/>
      <c r="G203" s="1092"/>
      <c r="H203" s="328">
        <v>27054.46</v>
      </c>
      <c r="I203" s="674">
        <v>27054.46</v>
      </c>
      <c r="J203" s="329">
        <v>4774.32</v>
      </c>
      <c r="K203" s="866">
        <v>4774.32</v>
      </c>
      <c r="L203" s="1159"/>
      <c r="M203" s="1161"/>
      <c r="N203" s="1161"/>
      <c r="O203" s="1161"/>
      <c r="P203" s="1161"/>
      <c r="Q203" s="1084"/>
      <c r="R203" s="779"/>
      <c r="S203" s="1155"/>
      <c r="T203" s="1155"/>
    </row>
    <row r="204" spans="1:20" ht="15" customHeight="1">
      <c r="A204" s="1134"/>
      <c r="B204" s="1134"/>
      <c r="C204" s="1131"/>
      <c r="D204" s="1118"/>
      <c r="E204" s="1131"/>
      <c r="F204" s="1118"/>
      <c r="G204" s="1092"/>
      <c r="H204" s="328">
        <v>17484.45</v>
      </c>
      <c r="I204" s="674">
        <v>17484.45</v>
      </c>
      <c r="J204" s="329">
        <v>3085.49</v>
      </c>
      <c r="K204" s="867">
        <v>3085.49</v>
      </c>
      <c r="L204" s="1159"/>
      <c r="M204" s="1161"/>
      <c r="N204" s="1161"/>
      <c r="O204" s="1161"/>
      <c r="P204" s="1161"/>
      <c r="Q204" s="1084"/>
      <c r="R204" s="779"/>
      <c r="S204" s="1155"/>
      <c r="T204" s="1155"/>
    </row>
    <row r="205" spans="1:20" ht="15" customHeight="1" thickBot="1">
      <c r="A205" s="1134"/>
      <c r="B205" s="1134"/>
      <c r="C205" s="1144"/>
      <c r="D205" s="1145"/>
      <c r="E205" s="1131"/>
      <c r="F205" s="1118"/>
      <c r="G205" s="1081"/>
      <c r="H205" s="328">
        <v>10687.82</v>
      </c>
      <c r="I205" s="674">
        <v>10687.82</v>
      </c>
      <c r="J205" s="329">
        <v>1886.1</v>
      </c>
      <c r="K205" s="867">
        <v>1886.09</v>
      </c>
      <c r="L205" s="1159"/>
      <c r="M205" s="1161"/>
      <c r="N205" s="1161"/>
      <c r="O205" s="1161"/>
      <c r="P205" s="1161"/>
      <c r="Q205" s="1085"/>
      <c r="R205" s="779">
        <f>E197</f>
        <v>534094.46</v>
      </c>
      <c r="S205" s="1155"/>
      <c r="T205" s="1155"/>
    </row>
    <row r="206" spans="1:20" ht="15" customHeight="1">
      <c r="A206" s="1134"/>
      <c r="B206" s="1134"/>
      <c r="C206" s="1144"/>
      <c r="D206" s="1145"/>
      <c r="E206" s="1131"/>
      <c r="F206" s="1118"/>
      <c r="G206" s="391"/>
      <c r="H206" s="328">
        <v>26279.93</v>
      </c>
      <c r="I206" s="674">
        <v>26279.93</v>
      </c>
      <c r="J206" s="329">
        <v>4637.63</v>
      </c>
      <c r="K206" s="867">
        <v>4637.63</v>
      </c>
      <c r="L206" s="1159"/>
      <c r="M206" s="1161"/>
      <c r="N206" s="1161"/>
      <c r="O206" s="1161"/>
      <c r="P206" s="1161"/>
      <c r="Q206" s="838"/>
      <c r="R206" s="779"/>
      <c r="S206" s="1155"/>
      <c r="T206" s="1155"/>
    </row>
    <row r="207" spans="1:20" ht="15" customHeight="1">
      <c r="A207" s="1067"/>
      <c r="B207" s="1067"/>
      <c r="C207" s="1144"/>
      <c r="D207" s="1145"/>
      <c r="E207" s="1144"/>
      <c r="F207" s="1145"/>
      <c r="G207" s="391"/>
      <c r="H207" s="328">
        <v>14765.27</v>
      </c>
      <c r="I207" s="674">
        <v>14765.27</v>
      </c>
      <c r="J207" s="329">
        <v>2605.62</v>
      </c>
      <c r="K207" s="867">
        <v>2605.63</v>
      </c>
      <c r="L207" s="1156"/>
      <c r="M207" s="1156"/>
      <c r="N207" s="1156"/>
      <c r="O207" s="1156"/>
      <c r="P207" s="1156"/>
      <c r="Q207" s="838"/>
      <c r="R207" s="779"/>
      <c r="S207" s="1156"/>
      <c r="T207" s="1155"/>
    </row>
    <row r="208" spans="1:20" ht="17.25" customHeight="1" thickBot="1">
      <c r="A208" s="1128"/>
      <c r="B208" s="1128"/>
      <c r="C208" s="1146"/>
      <c r="D208" s="1147"/>
      <c r="E208" s="1146"/>
      <c r="F208" s="1147"/>
      <c r="G208" s="391"/>
      <c r="H208" s="710">
        <v>9899</v>
      </c>
      <c r="I208" s="803">
        <v>9899</v>
      </c>
      <c r="J208" s="711">
        <v>1746.89</v>
      </c>
      <c r="K208" s="591">
        <v>1746.88</v>
      </c>
      <c r="L208" s="1157"/>
      <c r="M208" s="1157"/>
      <c r="N208" s="1157"/>
      <c r="O208" s="1157"/>
      <c r="P208" s="1157"/>
      <c r="Q208" s="838"/>
      <c r="R208" s="779"/>
      <c r="S208" s="1157"/>
      <c r="T208" s="1157"/>
    </row>
    <row r="209" spans="1:20" ht="18.75" customHeight="1">
      <c r="A209" s="1133" t="s">
        <v>29</v>
      </c>
      <c r="B209" s="1133" t="s">
        <v>30</v>
      </c>
      <c r="C209" s="265">
        <f>173054+173053</f>
        <v>346107</v>
      </c>
      <c r="D209" s="267">
        <v>80503</v>
      </c>
      <c r="E209" s="61">
        <v>383376.03</v>
      </c>
      <c r="F209" s="80">
        <v>89171.66</v>
      </c>
      <c r="G209" s="348">
        <v>472547.69000000006</v>
      </c>
      <c r="H209" s="322">
        <v>63257.25</v>
      </c>
      <c r="I209" s="323">
        <v>63257.25</v>
      </c>
      <c r="J209" s="323">
        <v>14713.32</v>
      </c>
      <c r="K209" s="324">
        <v>14713.32</v>
      </c>
      <c r="L209" s="1158">
        <f>SUM(H209:K215)</f>
        <v>448920.31000000006</v>
      </c>
      <c r="M209" s="1160">
        <f>L209/E210*100</f>
        <v>95.00000095228484</v>
      </c>
      <c r="N209" s="1160">
        <f>298726.41+21968+26830+1817+1818</f>
        <v>351159.41</v>
      </c>
      <c r="O209" s="1160">
        <f>N209/E209*100</f>
        <v>91.59660034040206</v>
      </c>
      <c r="P209" s="1160">
        <f>293733.67+10984*2+1817+1818</f>
        <v>319336.67</v>
      </c>
      <c r="Q209" s="1083">
        <f>P209/E209*100</f>
        <v>83.29594054171827</v>
      </c>
      <c r="R209" s="779">
        <f>E209+F209</f>
        <v>472547.69000000006</v>
      </c>
      <c r="S209" s="1114">
        <f>P209/E209*100</f>
        <v>83.29594054171827</v>
      </c>
      <c r="T209" s="1114">
        <f>N209/SUM(H209:I215)*100</f>
        <v>96.41747364542982</v>
      </c>
    </row>
    <row r="210" spans="1:20" ht="18.75" customHeight="1">
      <c r="A210" s="1134"/>
      <c r="B210" s="1134"/>
      <c r="C210" s="1135">
        <f>SUM(C209:D209)</f>
        <v>426610</v>
      </c>
      <c r="D210" s="1136"/>
      <c r="E210" s="1135">
        <v>472547.69000000006</v>
      </c>
      <c r="F210" s="1136"/>
      <c r="G210" s="1091">
        <v>472547.69000000006</v>
      </c>
      <c r="H210" s="331">
        <v>14466.15</v>
      </c>
      <c r="I210" s="332">
        <v>14466.15</v>
      </c>
      <c r="J210" s="332">
        <v>3364.22</v>
      </c>
      <c r="K210" s="333">
        <v>3364.22</v>
      </c>
      <c r="L210" s="1159"/>
      <c r="M210" s="1161"/>
      <c r="N210" s="1161"/>
      <c r="O210" s="1161"/>
      <c r="P210" s="1161"/>
      <c r="Q210" s="1084"/>
      <c r="R210" s="839"/>
      <c r="S210" s="1115"/>
      <c r="T210" s="1115"/>
    </row>
    <row r="211" spans="1:20" ht="18.75" customHeight="1">
      <c r="A211" s="1134"/>
      <c r="B211" s="1134"/>
      <c r="C211" s="1137"/>
      <c r="D211" s="1138"/>
      <c r="E211" s="1137"/>
      <c r="F211" s="1138"/>
      <c r="G211" s="1092"/>
      <c r="H211" s="331">
        <v>12129.23</v>
      </c>
      <c r="I211" s="347">
        <v>12129.23</v>
      </c>
      <c r="J211" s="332">
        <v>2820.75</v>
      </c>
      <c r="K211" s="414">
        <v>2820.75</v>
      </c>
      <c r="L211" s="1159"/>
      <c r="M211" s="1161"/>
      <c r="N211" s="1161"/>
      <c r="O211" s="1161"/>
      <c r="P211" s="1161"/>
      <c r="Q211" s="1084"/>
      <c r="R211" s="839"/>
      <c r="S211" s="1115"/>
      <c r="T211" s="1115"/>
    </row>
    <row r="212" spans="1:20" ht="18.75" customHeight="1" thickBot="1">
      <c r="A212" s="1134"/>
      <c r="B212" s="1134"/>
      <c r="C212" s="1137"/>
      <c r="D212" s="1138"/>
      <c r="E212" s="1137"/>
      <c r="F212" s="1138"/>
      <c r="G212" s="1092"/>
      <c r="H212" s="331">
        <v>19350</v>
      </c>
      <c r="I212" s="347">
        <v>19350</v>
      </c>
      <c r="J212" s="335">
        <v>4500</v>
      </c>
      <c r="K212" s="333">
        <v>4500</v>
      </c>
      <c r="L212" s="1159"/>
      <c r="M212" s="1161"/>
      <c r="N212" s="1161"/>
      <c r="O212" s="1161"/>
      <c r="P212" s="1161"/>
      <c r="Q212" s="1085"/>
      <c r="R212" s="779"/>
      <c r="S212" s="1115"/>
      <c r="T212" s="1115"/>
    </row>
    <row r="213" spans="1:20" ht="18.75" customHeight="1">
      <c r="A213" s="1134"/>
      <c r="B213" s="1134"/>
      <c r="C213" s="1137"/>
      <c r="D213" s="1138"/>
      <c r="E213" s="1137"/>
      <c r="F213" s="1138"/>
      <c r="G213" s="1092"/>
      <c r="H213" s="331">
        <v>14512.5</v>
      </c>
      <c r="I213" s="347">
        <v>14512.5</v>
      </c>
      <c r="J213" s="335">
        <v>3375</v>
      </c>
      <c r="K213" s="333">
        <v>3375</v>
      </c>
      <c r="L213" s="1159"/>
      <c r="M213" s="1161"/>
      <c r="N213" s="1161"/>
      <c r="O213" s="1161"/>
      <c r="P213" s="1161"/>
      <c r="Q213" s="838"/>
      <c r="R213" s="779"/>
      <c r="S213" s="1115"/>
      <c r="T213" s="1115"/>
    </row>
    <row r="214" spans="1:20" ht="18.75" customHeight="1" thickBot="1">
      <c r="A214" s="1134"/>
      <c r="B214" s="1134"/>
      <c r="C214" s="1144"/>
      <c r="D214" s="1145"/>
      <c r="E214" s="1137"/>
      <c r="F214" s="1138"/>
      <c r="G214" s="1081"/>
      <c r="H214" s="331">
        <v>11287.5</v>
      </c>
      <c r="I214" s="347">
        <v>11287.5</v>
      </c>
      <c r="J214" s="335">
        <v>2625</v>
      </c>
      <c r="K214" s="333">
        <v>2625</v>
      </c>
      <c r="L214" s="1159"/>
      <c r="M214" s="1161"/>
      <c r="N214" s="1161"/>
      <c r="O214" s="1161"/>
      <c r="P214" s="1161"/>
      <c r="Q214" s="838"/>
      <c r="R214" s="779">
        <f>E210</f>
        <v>472547.69000000006</v>
      </c>
      <c r="S214" s="1115"/>
      <c r="T214" s="1115"/>
    </row>
    <row r="215" spans="1:20" ht="18.75" customHeight="1" thickBot="1">
      <c r="A215" s="1134"/>
      <c r="B215" s="1134"/>
      <c r="C215" s="1144"/>
      <c r="D215" s="1145"/>
      <c r="E215" s="1137"/>
      <c r="F215" s="1138"/>
      <c r="G215" s="401"/>
      <c r="H215" s="811">
        <v>47100.88</v>
      </c>
      <c r="I215" s="868">
        <v>47101.09</v>
      </c>
      <c r="J215" s="869">
        <v>10958.25</v>
      </c>
      <c r="K215" s="870">
        <v>10958.25</v>
      </c>
      <c r="L215" s="1159"/>
      <c r="M215" s="1161"/>
      <c r="N215" s="1161"/>
      <c r="O215" s="1161"/>
      <c r="P215" s="1161"/>
      <c r="Q215" s="838"/>
      <c r="R215" s="779"/>
      <c r="S215" s="1115"/>
      <c r="T215" s="1115"/>
    </row>
    <row r="216" spans="1:20" ht="21" customHeight="1">
      <c r="A216" s="1133" t="s">
        <v>31</v>
      </c>
      <c r="B216" s="1133" t="s">
        <v>32</v>
      </c>
      <c r="C216" s="25">
        <f>214071+214070</f>
        <v>428141</v>
      </c>
      <c r="D216" s="20">
        <v>75554</v>
      </c>
      <c r="E216" s="25">
        <v>478379</v>
      </c>
      <c r="F216" s="17">
        <v>84419.86</v>
      </c>
      <c r="G216" s="361">
        <v>562798.8249352719</v>
      </c>
      <c r="H216" s="322">
        <v>27042.7</v>
      </c>
      <c r="I216" s="348">
        <v>27042.7</v>
      </c>
      <c r="J216" s="334">
        <v>4772.24</v>
      </c>
      <c r="K216" s="324">
        <v>4772.24</v>
      </c>
      <c r="L216" s="1019">
        <f>SUM(H216:K222)</f>
        <v>562798.8584584744</v>
      </c>
      <c r="M216" s="1077">
        <f>L216/E217*100</f>
        <v>99.99999972609653</v>
      </c>
      <c r="N216" s="1077">
        <f>1664120.65/30.126+6071388.5*2/30.126+25185</f>
        <v>483490.040496581</v>
      </c>
      <c r="O216" s="1077">
        <f>N216/E216*100</f>
        <v>101.06840820700344</v>
      </c>
      <c r="P216" s="1077">
        <f>403335.77+12592+12593</f>
        <v>428520.77</v>
      </c>
      <c r="Q216" s="1083">
        <f>P216/E216*100</f>
        <v>89.57767167873172</v>
      </c>
      <c r="R216" s="840">
        <f>E216+F216</f>
        <v>562798.86</v>
      </c>
      <c r="S216" s="968">
        <f>P216/E216*100</f>
        <v>89.57767167873172</v>
      </c>
      <c r="T216" s="1114">
        <f>N216/SUM(H216:I222)*100</f>
        <v>101.06841279432619</v>
      </c>
    </row>
    <row r="217" spans="1:20" ht="21" customHeight="1">
      <c r="A217" s="951"/>
      <c r="B217" s="1134"/>
      <c r="C217" s="1148">
        <f>SUM(C216:D216)</f>
        <v>503695</v>
      </c>
      <c r="D217" s="1149"/>
      <c r="E217" s="1148">
        <f>E216+F216</f>
        <v>562798.86</v>
      </c>
      <c r="F217" s="955"/>
      <c r="G217" s="1009">
        <v>562798.8249352719</v>
      </c>
      <c r="H217" s="331">
        <v>1158.4</v>
      </c>
      <c r="I217" s="335">
        <v>1158.4</v>
      </c>
      <c r="J217" s="335">
        <v>204.42</v>
      </c>
      <c r="K217" s="333">
        <v>204.42</v>
      </c>
      <c r="L217" s="1020"/>
      <c r="M217" s="1075"/>
      <c r="N217" s="1075"/>
      <c r="O217" s="1075"/>
      <c r="P217" s="1075"/>
      <c r="Q217" s="1084"/>
      <c r="R217" s="839"/>
      <c r="S217" s="835"/>
      <c r="T217" s="1115"/>
    </row>
    <row r="218" spans="1:20" ht="21" customHeight="1">
      <c r="A218" s="951"/>
      <c r="B218" s="1134"/>
      <c r="C218" s="1150"/>
      <c r="D218" s="1151"/>
      <c r="E218" s="1150"/>
      <c r="F218" s="1053"/>
      <c r="G218" s="1010"/>
      <c r="H218" s="325">
        <v>43842.01</v>
      </c>
      <c r="I218" s="338">
        <v>43842.01</v>
      </c>
      <c r="J218" s="345">
        <v>7736.83</v>
      </c>
      <c r="K218" s="327">
        <v>7736.83</v>
      </c>
      <c r="L218" s="1020"/>
      <c r="M218" s="1075"/>
      <c r="N218" s="1075"/>
      <c r="O218" s="1075"/>
      <c r="P218" s="1075"/>
      <c r="Q218" s="1084"/>
      <c r="R218" s="839"/>
      <c r="S218" s="835"/>
      <c r="T218" s="1115"/>
    </row>
    <row r="219" spans="1:20" ht="21" customHeight="1">
      <c r="A219" s="951"/>
      <c r="B219" s="1067"/>
      <c r="C219" s="952"/>
      <c r="D219" s="953"/>
      <c r="E219" s="956"/>
      <c r="F219" s="957"/>
      <c r="G219" s="1010"/>
      <c r="H219" s="331">
        <v>41393.6</v>
      </c>
      <c r="I219" s="347">
        <v>41393.6</v>
      </c>
      <c r="J219" s="335">
        <v>7304.76</v>
      </c>
      <c r="K219" s="333">
        <v>7304.76</v>
      </c>
      <c r="L219" s="1020"/>
      <c r="M219" s="1075"/>
      <c r="N219" s="1075"/>
      <c r="O219" s="1075"/>
      <c r="P219" s="1075"/>
      <c r="Q219" s="1084"/>
      <c r="R219" s="839"/>
      <c r="S219" s="835"/>
      <c r="T219" s="1115"/>
    </row>
    <row r="220" spans="1:20" ht="21" customHeight="1">
      <c r="A220" s="951"/>
      <c r="B220" s="1067"/>
      <c r="C220" s="952"/>
      <c r="D220" s="953"/>
      <c r="E220" s="956"/>
      <c r="F220" s="957"/>
      <c r="G220" s="1010"/>
      <c r="H220" s="331">
        <v>31231.885414592045</v>
      </c>
      <c r="I220" s="347">
        <v>31231.885414592045</v>
      </c>
      <c r="J220" s="335">
        <v>5511.508995552014</v>
      </c>
      <c r="K220" s="333">
        <v>5511.508995552014</v>
      </c>
      <c r="L220" s="1020"/>
      <c r="M220" s="1075"/>
      <c r="N220" s="1075"/>
      <c r="O220" s="1075"/>
      <c r="P220" s="1075"/>
      <c r="Q220" s="1084"/>
      <c r="R220" s="839"/>
      <c r="S220" s="835"/>
      <c r="T220" s="1115"/>
    </row>
    <row r="221" spans="1:20" ht="21" customHeight="1" thickBot="1">
      <c r="A221" s="951"/>
      <c r="B221" s="1067"/>
      <c r="C221" s="952"/>
      <c r="D221" s="953"/>
      <c r="E221" s="956"/>
      <c r="F221" s="957"/>
      <c r="G221" s="1011"/>
      <c r="H221" s="328">
        <v>82561.41372900484</v>
      </c>
      <c r="I221" s="329">
        <v>82561.41372900484</v>
      </c>
      <c r="J221" s="674">
        <v>14569.661090088295</v>
      </c>
      <c r="K221" s="330">
        <v>14569.661090088295</v>
      </c>
      <c r="L221" s="1020"/>
      <c r="M221" s="1075"/>
      <c r="N221" s="1075"/>
      <c r="O221" s="1075"/>
      <c r="P221" s="1075"/>
      <c r="Q221" s="1085"/>
      <c r="R221" s="841">
        <f>E217</f>
        <v>562798.86</v>
      </c>
      <c r="S221" s="835"/>
      <c r="T221" s="1115"/>
    </row>
    <row r="222" spans="1:20" ht="27.75" customHeight="1" thickBot="1">
      <c r="A222" s="954"/>
      <c r="B222" s="1128"/>
      <c r="C222" s="994"/>
      <c r="D222" s="995"/>
      <c r="E222" s="994"/>
      <c r="F222" s="958"/>
      <c r="G222" s="381"/>
      <c r="H222" s="875">
        <v>11959.48</v>
      </c>
      <c r="I222" s="876">
        <v>11959.48</v>
      </c>
      <c r="J222" s="885">
        <v>2110.52</v>
      </c>
      <c r="K222" s="877">
        <v>2110.52</v>
      </c>
      <c r="L222" s="1078"/>
      <c r="M222" s="1078"/>
      <c r="N222" s="1078"/>
      <c r="O222" s="1078"/>
      <c r="P222" s="1078"/>
      <c r="Q222" s="842"/>
      <c r="R222" s="841"/>
      <c r="S222" s="970"/>
      <c r="T222" s="1078"/>
    </row>
    <row r="223" spans="1:20" ht="16.5" customHeight="1" thickBot="1">
      <c r="A223" s="1133" t="s">
        <v>63</v>
      </c>
      <c r="B223" s="1133" t="s">
        <v>64</v>
      </c>
      <c r="C223" s="25">
        <f>181534+181534</f>
        <v>363068</v>
      </c>
      <c r="D223" s="20">
        <v>64071</v>
      </c>
      <c r="E223" s="79">
        <v>404947.76</v>
      </c>
      <c r="F223" s="78">
        <v>71461.44</v>
      </c>
      <c r="G223" s="367">
        <v>476409.2</v>
      </c>
      <c r="H223" s="322">
        <v>4105.150700391689</v>
      </c>
      <c r="I223" s="323">
        <v>4105.150700391689</v>
      </c>
      <c r="J223" s="323">
        <v>724.4383588926509</v>
      </c>
      <c r="K223" s="324">
        <v>724.4383588926509</v>
      </c>
      <c r="L223" s="1158">
        <f>SUM(H223:K233)</f>
        <v>424563.67811856855</v>
      </c>
      <c r="M223" s="1160">
        <f>L223/E224*100</f>
        <v>89.1174389828258</v>
      </c>
      <c r="N223" s="1077">
        <f>332564.88+6957+21357</f>
        <v>360878.88</v>
      </c>
      <c r="O223" s="1077">
        <f>N223/E223*100</f>
        <v>89.11739133956439</v>
      </c>
      <c r="P223" s="1077">
        <f>19387.55+13801*2+35767+35766+33903+33904+72916+72916+3479+3478</f>
        <v>339118.55</v>
      </c>
      <c r="Q223" s="1071">
        <f>P223/E223*100</f>
        <v>83.74377722202982</v>
      </c>
      <c r="R223" s="840">
        <f>E223+F223</f>
        <v>476409.2</v>
      </c>
      <c r="S223" s="1114">
        <f>P223/E223*100</f>
        <v>83.74377722202982</v>
      </c>
      <c r="T223" s="1114">
        <f>N223/SUM(H223:I233)*100</f>
        <v>99.9999331075784</v>
      </c>
    </row>
    <row r="224" spans="1:20" ht="16.5" customHeight="1">
      <c r="A224" s="1134"/>
      <c r="B224" s="1134"/>
      <c r="C224" s="1129">
        <f>SUM(C223:D223)</f>
        <v>427139</v>
      </c>
      <c r="D224" s="1130"/>
      <c r="E224" s="1129">
        <v>476409.2</v>
      </c>
      <c r="F224" s="1130"/>
      <c r="G224" s="1160">
        <v>476409.2</v>
      </c>
      <c r="H224" s="342">
        <v>11974.13</v>
      </c>
      <c r="I224" s="336">
        <v>11974.13</v>
      </c>
      <c r="J224" s="336">
        <v>2113.08</v>
      </c>
      <c r="K224" s="343">
        <v>2113.08</v>
      </c>
      <c r="L224" s="1159"/>
      <c r="M224" s="1161"/>
      <c r="N224" s="1075"/>
      <c r="O224" s="1075"/>
      <c r="P224" s="1075"/>
      <c r="Q224" s="1072"/>
      <c r="R224" s="839"/>
      <c r="S224" s="1115"/>
      <c r="T224" s="1115"/>
    </row>
    <row r="225" spans="1:20" ht="16.5" customHeight="1">
      <c r="A225" s="1134"/>
      <c r="B225" s="1134"/>
      <c r="C225" s="1131"/>
      <c r="D225" s="1118"/>
      <c r="E225" s="1131"/>
      <c r="F225" s="1118"/>
      <c r="G225" s="1161"/>
      <c r="H225" s="331">
        <v>10401.42</v>
      </c>
      <c r="I225" s="332">
        <v>10401.42</v>
      </c>
      <c r="J225" s="332">
        <v>1835.54</v>
      </c>
      <c r="K225" s="333">
        <v>1835.54</v>
      </c>
      <c r="L225" s="1159"/>
      <c r="M225" s="1161"/>
      <c r="N225" s="1075"/>
      <c r="O225" s="1075"/>
      <c r="P225" s="1075"/>
      <c r="Q225" s="1072"/>
      <c r="R225" s="839"/>
      <c r="S225" s="1115"/>
      <c r="T225" s="1115"/>
    </row>
    <row r="226" spans="1:20" ht="18.75" customHeight="1">
      <c r="A226" s="1134"/>
      <c r="B226" s="1134"/>
      <c r="C226" s="1131"/>
      <c r="D226" s="1118"/>
      <c r="E226" s="1131"/>
      <c r="F226" s="1118"/>
      <c r="G226" s="1161"/>
      <c r="H226" s="331">
        <v>29193.15</v>
      </c>
      <c r="I226" s="332">
        <v>29193.15</v>
      </c>
      <c r="J226" s="332">
        <v>5151.73</v>
      </c>
      <c r="K226" s="333">
        <v>5151.73</v>
      </c>
      <c r="L226" s="1159"/>
      <c r="M226" s="1161"/>
      <c r="N226" s="1075"/>
      <c r="O226" s="1075"/>
      <c r="P226" s="1075"/>
      <c r="Q226" s="1072"/>
      <c r="R226" s="839"/>
      <c r="S226" s="1115"/>
      <c r="T226" s="1115"/>
    </row>
    <row r="227" spans="1:20" ht="15" customHeight="1">
      <c r="A227" s="1134"/>
      <c r="B227" s="1134"/>
      <c r="C227" s="1131"/>
      <c r="D227" s="1118"/>
      <c r="E227" s="1131"/>
      <c r="F227" s="1118"/>
      <c r="G227" s="1161"/>
      <c r="H227" s="325">
        <v>23550.75</v>
      </c>
      <c r="I227" s="326">
        <v>23550.75</v>
      </c>
      <c r="J227" s="326">
        <v>4156.02</v>
      </c>
      <c r="K227" s="327">
        <v>4156.02</v>
      </c>
      <c r="L227" s="1159"/>
      <c r="M227" s="1161"/>
      <c r="N227" s="1075"/>
      <c r="O227" s="1075"/>
      <c r="P227" s="1075"/>
      <c r="Q227" s="1072"/>
      <c r="R227" s="839"/>
      <c r="S227" s="1115"/>
      <c r="T227" s="1115"/>
    </row>
    <row r="228" spans="1:20" ht="14.25" customHeight="1">
      <c r="A228" s="1134"/>
      <c r="B228" s="1134"/>
      <c r="C228" s="1131"/>
      <c r="D228" s="1118"/>
      <c r="E228" s="1131"/>
      <c r="F228" s="1118"/>
      <c r="G228" s="1161"/>
      <c r="H228" s="331">
        <v>10163.53</v>
      </c>
      <c r="I228" s="332">
        <v>10163.53</v>
      </c>
      <c r="J228" s="332">
        <v>1793.57</v>
      </c>
      <c r="K228" s="333">
        <v>1793.56</v>
      </c>
      <c r="L228" s="1159"/>
      <c r="M228" s="1161"/>
      <c r="N228" s="1075"/>
      <c r="O228" s="1075"/>
      <c r="P228" s="1075"/>
      <c r="Q228" s="1072"/>
      <c r="R228" s="839"/>
      <c r="S228" s="1115"/>
      <c r="T228" s="1115"/>
    </row>
    <row r="229" spans="1:20" ht="18.75" customHeight="1">
      <c r="A229" s="1134"/>
      <c r="B229" s="1134"/>
      <c r="C229" s="1131"/>
      <c r="D229" s="1118"/>
      <c r="E229" s="1131"/>
      <c r="F229" s="1118"/>
      <c r="G229" s="1161"/>
      <c r="H229" s="331">
        <v>32960.43</v>
      </c>
      <c r="I229" s="332">
        <v>32960.43</v>
      </c>
      <c r="J229" s="332">
        <v>5816.55</v>
      </c>
      <c r="K229" s="333">
        <v>5816.54</v>
      </c>
      <c r="L229" s="1159"/>
      <c r="M229" s="1161"/>
      <c r="N229" s="1075"/>
      <c r="O229" s="1075"/>
      <c r="P229" s="1075"/>
      <c r="Q229" s="1072"/>
      <c r="R229" s="839"/>
      <c r="S229" s="1115"/>
      <c r="T229" s="1115"/>
    </row>
    <row r="230" spans="1:20" ht="12" customHeight="1" thickBot="1">
      <c r="A230" s="1134"/>
      <c r="B230" s="1134"/>
      <c r="C230" s="1131"/>
      <c r="D230" s="1118"/>
      <c r="E230" s="1131"/>
      <c r="F230" s="1118"/>
      <c r="G230" s="1161"/>
      <c r="H230" s="331">
        <v>23658.68</v>
      </c>
      <c r="I230" s="332">
        <v>23658.68</v>
      </c>
      <c r="J230" s="332">
        <v>4175.06</v>
      </c>
      <c r="K230" s="333">
        <v>4175.06</v>
      </c>
      <c r="L230" s="1159"/>
      <c r="M230" s="1161"/>
      <c r="N230" s="1075"/>
      <c r="O230" s="1075"/>
      <c r="P230" s="1075"/>
      <c r="Q230" s="1068"/>
      <c r="R230" s="839"/>
      <c r="S230" s="1115"/>
      <c r="T230" s="1115"/>
    </row>
    <row r="231" spans="1:20" ht="12.75" customHeight="1" thickBot="1">
      <c r="A231" s="1134"/>
      <c r="B231" s="1134"/>
      <c r="C231" s="1131"/>
      <c r="D231" s="1118"/>
      <c r="E231" s="1131"/>
      <c r="F231" s="1118"/>
      <c r="G231" s="1126"/>
      <c r="H231" s="331">
        <v>17078.39</v>
      </c>
      <c r="I231" s="332">
        <v>17078.39</v>
      </c>
      <c r="J231" s="332">
        <v>3013.85</v>
      </c>
      <c r="K231" s="333">
        <v>3013.84</v>
      </c>
      <c r="L231" s="1159"/>
      <c r="M231" s="1161"/>
      <c r="N231" s="1075"/>
      <c r="O231" s="1075"/>
      <c r="P231" s="1075"/>
      <c r="Q231" s="838"/>
      <c r="R231" s="839">
        <f>E224</f>
        <v>476409.2</v>
      </c>
      <c r="S231" s="1115"/>
      <c r="T231" s="1115"/>
    </row>
    <row r="232" spans="1:20" ht="18.75" customHeight="1" thickBot="1">
      <c r="A232" s="1134"/>
      <c r="B232" s="1134"/>
      <c r="C232" s="1131"/>
      <c r="D232" s="1118"/>
      <c r="E232" s="1131"/>
      <c r="F232" s="1118"/>
      <c r="G232" s="403"/>
      <c r="H232" s="331">
        <v>3196.58</v>
      </c>
      <c r="I232" s="332">
        <v>3196.58</v>
      </c>
      <c r="J232" s="332">
        <v>564.1</v>
      </c>
      <c r="K232" s="333">
        <v>564.1</v>
      </c>
      <c r="L232" s="1159"/>
      <c r="M232" s="1161"/>
      <c r="N232" s="1075"/>
      <c r="O232" s="1075"/>
      <c r="P232" s="1075"/>
      <c r="Q232" s="842"/>
      <c r="R232" s="841"/>
      <c r="S232" s="1115"/>
      <c r="T232" s="1115"/>
    </row>
    <row r="233" spans="1:20" ht="18.75" customHeight="1" thickBot="1">
      <c r="A233" s="1090"/>
      <c r="B233" s="1090"/>
      <c r="C233" s="1102"/>
      <c r="D233" s="1103"/>
      <c r="E233" s="1102"/>
      <c r="F233" s="1103"/>
      <c r="G233" s="403"/>
      <c r="H233" s="346">
        <v>14157.35</v>
      </c>
      <c r="I233" s="350">
        <v>14157.35</v>
      </c>
      <c r="J233" s="350">
        <v>2498.36</v>
      </c>
      <c r="K233" s="351">
        <v>2498.35</v>
      </c>
      <c r="L233" s="1113"/>
      <c r="M233" s="1126"/>
      <c r="N233" s="1076"/>
      <c r="O233" s="1076"/>
      <c r="P233" s="1076"/>
      <c r="Q233" s="842"/>
      <c r="R233" s="841"/>
      <c r="S233" s="1116"/>
      <c r="T233" s="1116"/>
    </row>
    <row r="234" spans="1:20" ht="18.75" customHeight="1">
      <c r="A234" s="1133" t="s">
        <v>144</v>
      </c>
      <c r="B234" s="1133" t="s">
        <v>143</v>
      </c>
      <c r="C234" s="265">
        <v>316361</v>
      </c>
      <c r="D234" s="685">
        <v>55828</v>
      </c>
      <c r="E234" s="342">
        <v>350426.76</v>
      </c>
      <c r="F234" s="662">
        <v>61840.04</v>
      </c>
      <c r="G234" s="666">
        <v>412266.8</v>
      </c>
      <c r="H234" s="342">
        <v>15067.02</v>
      </c>
      <c r="I234" s="336">
        <v>15067.02</v>
      </c>
      <c r="J234" s="336">
        <v>2658.89</v>
      </c>
      <c r="K234" s="343">
        <v>2658.89</v>
      </c>
      <c r="L234" s="1158">
        <f>SUM(H234:K240)</f>
        <v>391653.37</v>
      </c>
      <c r="M234" s="1154">
        <f>L234/E235*100</f>
        <v>94.99997816947666</v>
      </c>
      <c r="N234" s="1160">
        <f>120093.03+67053*2</f>
        <v>254199.03</v>
      </c>
      <c r="O234" s="1160">
        <f>N234/E234*100</f>
        <v>72.53984541591515</v>
      </c>
      <c r="P234" s="1160">
        <f>119939+67053*2</f>
        <v>254045</v>
      </c>
      <c r="Q234" s="1028">
        <f>P234/E234*100</f>
        <v>72.49589043941735</v>
      </c>
      <c r="R234" s="779">
        <f>E234+F234</f>
        <v>412266.8</v>
      </c>
      <c r="S234" s="1154">
        <f>P234/E234*100</f>
        <v>72.49589043941735</v>
      </c>
      <c r="T234" s="1154">
        <f>N234/SUM(H234:I240)*100</f>
        <v>76.35775082490416</v>
      </c>
    </row>
    <row r="235" spans="1:20" ht="18.75" customHeight="1" thickBot="1">
      <c r="A235" s="1134"/>
      <c r="B235" s="1134"/>
      <c r="C235" s="1129">
        <f>SUM(C234:D234)</f>
        <v>372189</v>
      </c>
      <c r="D235" s="1130"/>
      <c r="E235" s="1129">
        <v>412266.8</v>
      </c>
      <c r="F235" s="1109"/>
      <c r="G235" s="1014">
        <v>412266.8</v>
      </c>
      <c r="H235" s="325">
        <v>4250</v>
      </c>
      <c r="I235" s="326">
        <v>4250</v>
      </c>
      <c r="J235" s="326">
        <v>750</v>
      </c>
      <c r="K235" s="327">
        <v>750</v>
      </c>
      <c r="L235" s="1159"/>
      <c r="M235" s="1155"/>
      <c r="N235" s="1161"/>
      <c r="O235" s="1161"/>
      <c r="P235" s="1161"/>
      <c r="Q235" s="1085"/>
      <c r="R235" s="779"/>
      <c r="S235" s="1155"/>
      <c r="T235" s="1155"/>
    </row>
    <row r="236" spans="1:20" ht="18.75" customHeight="1" thickBot="1">
      <c r="A236" s="1134"/>
      <c r="B236" s="1134"/>
      <c r="C236" s="1131"/>
      <c r="D236" s="1118"/>
      <c r="E236" s="1131"/>
      <c r="F236" s="1110"/>
      <c r="G236" s="1015"/>
      <c r="H236" s="331">
        <v>37400</v>
      </c>
      <c r="I236" s="332">
        <v>37400</v>
      </c>
      <c r="J236" s="332">
        <v>6600</v>
      </c>
      <c r="K236" s="414">
        <v>6600</v>
      </c>
      <c r="L236" s="1159"/>
      <c r="M236" s="1155"/>
      <c r="N236" s="1161"/>
      <c r="O236" s="1161"/>
      <c r="P236" s="1161"/>
      <c r="Q236" s="838"/>
      <c r="R236" s="779">
        <f>E235</f>
        <v>412266.8</v>
      </c>
      <c r="S236" s="1155"/>
      <c r="T236" s="1155"/>
    </row>
    <row r="237" spans="1:20" ht="18.75" customHeight="1">
      <c r="A237" s="1134"/>
      <c r="B237" s="1134"/>
      <c r="C237" s="1131"/>
      <c r="D237" s="1118"/>
      <c r="E237" s="1131"/>
      <c r="F237" s="1110"/>
      <c r="G237" s="391"/>
      <c r="H237" s="331">
        <v>20382.23</v>
      </c>
      <c r="I237" s="332">
        <v>20382.23</v>
      </c>
      <c r="J237" s="332">
        <v>3596.88</v>
      </c>
      <c r="K237" s="414">
        <v>3596.87</v>
      </c>
      <c r="L237" s="1159"/>
      <c r="M237" s="1155"/>
      <c r="N237" s="1161"/>
      <c r="O237" s="1161"/>
      <c r="P237" s="1161"/>
      <c r="Q237" s="838"/>
      <c r="R237" s="779"/>
      <c r="S237" s="1155"/>
      <c r="T237" s="1155"/>
    </row>
    <row r="238" spans="1:20" ht="18.75" customHeight="1">
      <c r="A238" s="1067"/>
      <c r="B238" s="1067"/>
      <c r="C238" s="1144"/>
      <c r="D238" s="1145"/>
      <c r="E238" s="1144"/>
      <c r="F238" s="1106"/>
      <c r="G238" s="391"/>
      <c r="H238" s="331">
        <v>23076.54</v>
      </c>
      <c r="I238" s="332">
        <v>23076.54</v>
      </c>
      <c r="J238" s="332">
        <v>4072.34</v>
      </c>
      <c r="K238" s="414">
        <v>4072.33</v>
      </c>
      <c r="L238" s="1156"/>
      <c r="M238" s="1156"/>
      <c r="N238" s="1156"/>
      <c r="O238" s="1156"/>
      <c r="P238" s="1156"/>
      <c r="Q238" s="838"/>
      <c r="R238" s="779"/>
      <c r="S238" s="1156"/>
      <c r="T238" s="1156"/>
    </row>
    <row r="239" spans="1:20" ht="18.75" customHeight="1">
      <c r="A239" s="1067"/>
      <c r="B239" s="1067"/>
      <c r="C239" s="1144"/>
      <c r="D239" s="1145"/>
      <c r="E239" s="1144"/>
      <c r="F239" s="1106"/>
      <c r="G239" s="391"/>
      <c r="H239" s="331">
        <v>29961</v>
      </c>
      <c r="I239" s="332">
        <v>29961</v>
      </c>
      <c r="J239" s="332">
        <v>5287.24</v>
      </c>
      <c r="K239" s="414">
        <v>5287.23</v>
      </c>
      <c r="L239" s="1156"/>
      <c r="M239" s="1156"/>
      <c r="N239" s="1156"/>
      <c r="O239" s="1156"/>
      <c r="P239" s="1156"/>
      <c r="Q239" s="838"/>
      <c r="R239" s="779"/>
      <c r="S239" s="1156"/>
      <c r="T239" s="1156"/>
    </row>
    <row r="240" spans="1:20" ht="18.75" customHeight="1" thickBot="1">
      <c r="A240" s="1128"/>
      <c r="B240" s="1128"/>
      <c r="C240" s="1146"/>
      <c r="D240" s="1147"/>
      <c r="E240" s="1146"/>
      <c r="F240" s="1107"/>
      <c r="G240" s="391"/>
      <c r="H240" s="325">
        <v>36315.88</v>
      </c>
      <c r="I240" s="326">
        <v>36315.88</v>
      </c>
      <c r="J240" s="326">
        <v>6408.68</v>
      </c>
      <c r="K240" s="402">
        <v>6408.68</v>
      </c>
      <c r="L240" s="1132"/>
      <c r="M240" s="1132"/>
      <c r="N240" s="1132"/>
      <c r="O240" s="1132"/>
      <c r="P240" s="1132"/>
      <c r="Q240" s="838"/>
      <c r="R240" s="779"/>
      <c r="S240" s="1132"/>
      <c r="T240" s="1132"/>
    </row>
    <row r="241" spans="1:20" ht="18.75" customHeight="1">
      <c r="A241" s="1133" t="s">
        <v>39</v>
      </c>
      <c r="B241" s="1133" t="s">
        <v>40</v>
      </c>
      <c r="C241" s="311">
        <f>164730+164730</f>
        <v>329460</v>
      </c>
      <c r="D241" s="311">
        <v>58140</v>
      </c>
      <c r="E241" s="61">
        <v>364728.82</v>
      </c>
      <c r="F241" s="80">
        <v>64363.9</v>
      </c>
      <c r="G241" s="348">
        <v>429092.7305317666</v>
      </c>
      <c r="H241" s="322">
        <v>14143.64</v>
      </c>
      <c r="I241" s="323">
        <v>14143.64</v>
      </c>
      <c r="J241" s="323">
        <v>2495.94</v>
      </c>
      <c r="K241" s="339">
        <v>2495.94</v>
      </c>
      <c r="L241" s="1158">
        <f>SUM(H241:K249)</f>
        <v>429085.3200000001</v>
      </c>
      <c r="M241" s="1160">
        <f>L241/E242*100</f>
        <v>99.9982754310071</v>
      </c>
      <c r="N241" s="1160">
        <v>362801.06</v>
      </c>
      <c r="O241" s="1160">
        <f>N241/E241*100</f>
        <v>99.47145388730179</v>
      </c>
      <c r="P241" s="1160">
        <f>329461.5</f>
        <v>329461.5</v>
      </c>
      <c r="Q241" s="1083">
        <f>P241/E241*100</f>
        <v>90.33053653396516</v>
      </c>
      <c r="R241" s="779">
        <f>E241+F241</f>
        <v>429092.72000000003</v>
      </c>
      <c r="S241" s="1123">
        <f>P241/E241*100</f>
        <v>90.33053653396516</v>
      </c>
      <c r="T241" s="1123">
        <f>N241/SUM(H241:I249)*100</f>
        <v>104.70678117576138</v>
      </c>
    </row>
    <row r="242" spans="1:20" ht="18.75" customHeight="1">
      <c r="A242" s="1134"/>
      <c r="B242" s="1134"/>
      <c r="C242" s="1129">
        <f>SUM(C241:D241)</f>
        <v>387600</v>
      </c>
      <c r="D242" s="1130"/>
      <c r="E242" s="1129">
        <f>E241+F241</f>
        <v>429092.72000000003</v>
      </c>
      <c r="F242" s="1130"/>
      <c r="G242" s="1091">
        <v>429092.7305317666</v>
      </c>
      <c r="H242" s="342">
        <v>19286.6</v>
      </c>
      <c r="I242" s="332">
        <v>19286.6</v>
      </c>
      <c r="J242" s="332">
        <v>3403.52</v>
      </c>
      <c r="K242" s="414">
        <v>3403.52</v>
      </c>
      <c r="L242" s="1159"/>
      <c r="M242" s="1161"/>
      <c r="N242" s="1161"/>
      <c r="O242" s="1161"/>
      <c r="P242" s="1161"/>
      <c r="Q242" s="1084"/>
      <c r="R242" s="779"/>
      <c r="S242" s="1124"/>
      <c r="T242" s="1124"/>
    </row>
    <row r="243" spans="1:20" ht="18.75" customHeight="1">
      <c r="A243" s="1134"/>
      <c r="B243" s="1134"/>
      <c r="C243" s="1131"/>
      <c r="D243" s="1118"/>
      <c r="E243" s="1131"/>
      <c r="F243" s="1118"/>
      <c r="G243" s="1092"/>
      <c r="H243" s="331">
        <v>15275.52</v>
      </c>
      <c r="I243" s="332">
        <v>15275.52</v>
      </c>
      <c r="J243" s="332">
        <v>2695.68</v>
      </c>
      <c r="K243" s="414">
        <v>2695.68</v>
      </c>
      <c r="L243" s="1159"/>
      <c r="M243" s="1161"/>
      <c r="N243" s="1161"/>
      <c r="O243" s="1161"/>
      <c r="P243" s="1161"/>
      <c r="Q243" s="1084"/>
      <c r="R243" s="779"/>
      <c r="S243" s="1124"/>
      <c r="T243" s="1124"/>
    </row>
    <row r="244" spans="1:20" ht="18.75" customHeight="1">
      <c r="A244" s="1134"/>
      <c r="B244" s="1134"/>
      <c r="C244" s="1131"/>
      <c r="D244" s="1118"/>
      <c r="E244" s="1131"/>
      <c r="F244" s="1118"/>
      <c r="G244" s="1092"/>
      <c r="H244" s="331">
        <v>9642.66</v>
      </c>
      <c r="I244" s="332">
        <v>9642.66</v>
      </c>
      <c r="J244" s="332">
        <v>1701.65</v>
      </c>
      <c r="K244" s="414">
        <v>1701.65</v>
      </c>
      <c r="L244" s="1159"/>
      <c r="M244" s="1161"/>
      <c r="N244" s="1161"/>
      <c r="O244" s="1161"/>
      <c r="P244" s="1161"/>
      <c r="Q244" s="1084"/>
      <c r="R244" s="779"/>
      <c r="S244" s="1124"/>
      <c r="T244" s="1124"/>
    </row>
    <row r="245" spans="1:20" ht="18.75" customHeight="1">
      <c r="A245" s="1134"/>
      <c r="B245" s="1134"/>
      <c r="C245" s="1131"/>
      <c r="D245" s="1118"/>
      <c r="E245" s="1131"/>
      <c r="F245" s="1118"/>
      <c r="G245" s="1092"/>
      <c r="H245" s="331">
        <v>21185.04</v>
      </c>
      <c r="I245" s="332">
        <v>21185.04</v>
      </c>
      <c r="J245" s="332">
        <v>3738.54</v>
      </c>
      <c r="K245" s="414">
        <v>3738.54</v>
      </c>
      <c r="L245" s="1159"/>
      <c r="M245" s="1161"/>
      <c r="N245" s="1161"/>
      <c r="O245" s="1161"/>
      <c r="P245" s="1161"/>
      <c r="Q245" s="1084"/>
      <c r="R245" s="779"/>
      <c r="S245" s="1124"/>
      <c r="T245" s="1124"/>
    </row>
    <row r="246" spans="1:20" ht="18.75" customHeight="1">
      <c r="A246" s="1134"/>
      <c r="B246" s="1134"/>
      <c r="C246" s="1131"/>
      <c r="D246" s="1118"/>
      <c r="E246" s="1131"/>
      <c r="F246" s="1118"/>
      <c r="G246" s="1092"/>
      <c r="H246" s="331">
        <v>36243.26</v>
      </c>
      <c r="I246" s="332">
        <v>36243.26</v>
      </c>
      <c r="J246" s="332">
        <v>6395.87</v>
      </c>
      <c r="K246" s="414">
        <v>6395.87</v>
      </c>
      <c r="L246" s="1159"/>
      <c r="M246" s="1161"/>
      <c r="N246" s="1161"/>
      <c r="O246" s="1161"/>
      <c r="P246" s="1161"/>
      <c r="Q246" s="1084"/>
      <c r="R246" s="779"/>
      <c r="S246" s="1124"/>
      <c r="T246" s="1124"/>
    </row>
    <row r="247" spans="1:20" ht="18.75" customHeight="1">
      <c r="A247" s="1134"/>
      <c r="B247" s="1134"/>
      <c r="C247" s="1131"/>
      <c r="D247" s="1118"/>
      <c r="E247" s="1131"/>
      <c r="F247" s="1118"/>
      <c r="G247" s="1092"/>
      <c r="H247" s="325">
        <v>42177.51</v>
      </c>
      <c r="I247" s="326">
        <v>42177.51</v>
      </c>
      <c r="J247" s="326">
        <v>7443.09</v>
      </c>
      <c r="K247" s="402">
        <v>7443.09</v>
      </c>
      <c r="L247" s="1159"/>
      <c r="M247" s="1161"/>
      <c r="N247" s="1161"/>
      <c r="O247" s="1161"/>
      <c r="P247" s="1161"/>
      <c r="Q247" s="1084"/>
      <c r="R247" s="779"/>
      <c r="S247" s="1124"/>
      <c r="T247" s="1124"/>
    </row>
    <row r="248" spans="1:20" ht="18.75" customHeight="1">
      <c r="A248" s="1134"/>
      <c r="B248" s="1134"/>
      <c r="C248" s="1131"/>
      <c r="D248" s="1118"/>
      <c r="E248" s="1131"/>
      <c r="F248" s="1118"/>
      <c r="G248" s="1092"/>
      <c r="H248" s="331">
        <v>15291.98</v>
      </c>
      <c r="I248" s="332">
        <v>15291.98</v>
      </c>
      <c r="J248" s="332">
        <v>2698.58</v>
      </c>
      <c r="K248" s="414">
        <v>2698.58</v>
      </c>
      <c r="L248" s="1159"/>
      <c r="M248" s="1161"/>
      <c r="N248" s="1161"/>
      <c r="O248" s="1161"/>
      <c r="P248" s="1161"/>
      <c r="Q248" s="1084"/>
      <c r="R248" s="779"/>
      <c r="S248" s="1124"/>
      <c r="T248" s="1124"/>
    </row>
    <row r="249" spans="1:20" ht="18.75" customHeight="1" thickBot="1">
      <c r="A249" s="959"/>
      <c r="B249" s="1128"/>
      <c r="C249" s="1102"/>
      <c r="D249" s="1103"/>
      <c r="E249" s="1146"/>
      <c r="F249" s="1147"/>
      <c r="G249" s="1081"/>
      <c r="H249" s="325">
        <v>0</v>
      </c>
      <c r="I249" s="326">
        <v>0</v>
      </c>
      <c r="J249" s="326">
        <v>10723.580000000002</v>
      </c>
      <c r="K249" s="402">
        <v>10723.58</v>
      </c>
      <c r="L249" s="1049"/>
      <c r="M249" s="1132"/>
      <c r="N249" s="1132"/>
      <c r="O249" s="1126"/>
      <c r="P249" s="1132"/>
      <c r="Q249" s="838"/>
      <c r="R249" s="779">
        <f>E242</f>
        <v>429092.72000000003</v>
      </c>
      <c r="S249" s="1125"/>
      <c r="T249" s="1125"/>
    </row>
    <row r="250" spans="1:20" ht="18.75" customHeight="1">
      <c r="A250" s="1133" t="s">
        <v>69</v>
      </c>
      <c r="B250" s="1133" t="s">
        <v>70</v>
      </c>
      <c r="C250" s="33">
        <f>222743+222743</f>
        <v>445486</v>
      </c>
      <c r="D250" s="33">
        <f>41764.5+41764.5</f>
        <v>83529</v>
      </c>
      <c r="E250" s="72">
        <v>448207.28</v>
      </c>
      <c r="F250" s="60">
        <v>84038.88</v>
      </c>
      <c r="G250" s="220">
        <v>532246.16</v>
      </c>
      <c r="H250" s="322">
        <v>120094.5</v>
      </c>
      <c r="I250" s="323">
        <v>120094.5</v>
      </c>
      <c r="J250" s="323">
        <v>22517.72</v>
      </c>
      <c r="K250" s="324">
        <v>22517.72</v>
      </c>
      <c r="L250" s="1158">
        <f>SUM(H250:K254)</f>
        <v>518453.5500000003</v>
      </c>
      <c r="M250" s="1160">
        <f>L250/E251*100</f>
        <v>97.40860319217714</v>
      </c>
      <c r="N250" s="1160">
        <f>276098+51529*2+14797+14796+27843</f>
        <v>436592</v>
      </c>
      <c r="O250" s="1160">
        <f>N250/E250*100</f>
        <v>97.40850260174265</v>
      </c>
      <c r="P250" s="1160">
        <f>379156+14797+14796+13921+13922</f>
        <v>436592</v>
      </c>
      <c r="Q250" s="1083">
        <f>P250/E250*100</f>
        <v>97.40850260174265</v>
      </c>
      <c r="R250" s="779">
        <f>E250+F250</f>
        <v>532246.16</v>
      </c>
      <c r="S250" s="1154">
        <f>P250/E250*100</f>
        <v>97.40850260174265</v>
      </c>
      <c r="T250" s="1154">
        <f>N250/SUM(H250:I254)*100</f>
        <v>99.99989463858353</v>
      </c>
    </row>
    <row r="251" spans="1:20" ht="18.75" customHeight="1">
      <c r="A251" s="1134"/>
      <c r="B251" s="1134"/>
      <c r="C251" s="1129">
        <f>SUM(C250:D250)</f>
        <v>529015</v>
      </c>
      <c r="D251" s="1130"/>
      <c r="E251" s="1129">
        <v>532246.16</v>
      </c>
      <c r="F251" s="1130"/>
      <c r="G251" s="1016">
        <v>532246.16</v>
      </c>
      <c r="H251" s="331">
        <v>17954.84</v>
      </c>
      <c r="I251" s="332">
        <v>17954.84</v>
      </c>
      <c r="J251" s="332">
        <v>3366.53</v>
      </c>
      <c r="K251" s="333">
        <v>3366.53</v>
      </c>
      <c r="L251" s="1159"/>
      <c r="M251" s="1161"/>
      <c r="N251" s="1161"/>
      <c r="O251" s="1161"/>
      <c r="P251" s="1161"/>
      <c r="Q251" s="1084"/>
      <c r="R251" s="779"/>
      <c r="S251" s="1155"/>
      <c r="T251" s="1155"/>
    </row>
    <row r="252" spans="1:20" ht="18.75" customHeight="1" thickBot="1">
      <c r="A252" s="1134"/>
      <c r="B252" s="1134"/>
      <c r="C252" s="1131"/>
      <c r="D252" s="1118"/>
      <c r="E252" s="1131"/>
      <c r="F252" s="1118"/>
      <c r="G252" s="1018"/>
      <c r="H252" s="331">
        <v>51529.08</v>
      </c>
      <c r="I252" s="332">
        <v>51529.08</v>
      </c>
      <c r="J252" s="332">
        <v>9661.7</v>
      </c>
      <c r="K252" s="333">
        <v>9661.7</v>
      </c>
      <c r="L252" s="1159"/>
      <c r="M252" s="1161"/>
      <c r="N252" s="1161"/>
      <c r="O252" s="1161"/>
      <c r="P252" s="1161"/>
      <c r="Q252" s="1085"/>
      <c r="R252" s="779">
        <f>E251</f>
        <v>532246.16</v>
      </c>
      <c r="S252" s="1155"/>
      <c r="T252" s="1155"/>
    </row>
    <row r="253" spans="1:20" ht="18.75" customHeight="1">
      <c r="A253" s="1067"/>
      <c r="B253" s="1067"/>
      <c r="C253" s="1144"/>
      <c r="D253" s="1145"/>
      <c r="E253" s="1144"/>
      <c r="F253" s="1145"/>
      <c r="G253" s="379"/>
      <c r="H253" s="331">
        <v>23320.03</v>
      </c>
      <c r="I253" s="332">
        <v>23320.03</v>
      </c>
      <c r="J253" s="332">
        <v>4372.52</v>
      </c>
      <c r="K253" s="333">
        <v>4372.51</v>
      </c>
      <c r="L253" s="1156"/>
      <c r="M253" s="1156"/>
      <c r="N253" s="1156"/>
      <c r="O253" s="1156"/>
      <c r="P253" s="1156"/>
      <c r="Q253" s="838"/>
      <c r="R253" s="779"/>
      <c r="S253" s="1156"/>
      <c r="T253" s="1156"/>
    </row>
    <row r="254" spans="1:20" ht="18.75" customHeight="1" thickBot="1">
      <c r="A254" s="1128"/>
      <c r="B254" s="1128"/>
      <c r="C254" s="1146"/>
      <c r="D254" s="1147"/>
      <c r="E254" s="1146"/>
      <c r="F254" s="1147"/>
      <c r="G254" s="379"/>
      <c r="H254" s="325">
        <v>5397.78</v>
      </c>
      <c r="I254" s="326">
        <v>5397.78</v>
      </c>
      <c r="J254" s="326">
        <v>1012.08</v>
      </c>
      <c r="K254" s="327">
        <v>1012.08</v>
      </c>
      <c r="L254" s="1157"/>
      <c r="M254" s="1157"/>
      <c r="N254" s="1132"/>
      <c r="O254" s="1157"/>
      <c r="P254" s="1157"/>
      <c r="Q254" s="838"/>
      <c r="R254" s="779"/>
      <c r="S254" s="1157"/>
      <c r="T254" s="1157"/>
    </row>
    <row r="255" spans="1:20" ht="16.5" customHeight="1">
      <c r="A255" s="1133" t="s">
        <v>53</v>
      </c>
      <c r="B255" s="1097" t="s">
        <v>54</v>
      </c>
      <c r="C255" s="266">
        <f>152317+152316</f>
        <v>304633</v>
      </c>
      <c r="D255" s="266">
        <v>53759</v>
      </c>
      <c r="E255" s="79">
        <v>340379.04</v>
      </c>
      <c r="F255" s="80">
        <v>60066.94</v>
      </c>
      <c r="G255" s="348">
        <v>400445.98</v>
      </c>
      <c r="H255" s="322">
        <v>17846.81</v>
      </c>
      <c r="I255" s="323">
        <v>17846.81</v>
      </c>
      <c r="J255" s="323">
        <v>3149.44</v>
      </c>
      <c r="K255" s="324">
        <v>3149.44</v>
      </c>
      <c r="L255" s="1158">
        <f>SUM(H255:K265)</f>
        <v>380423.68000000034</v>
      </c>
      <c r="M255" s="1160">
        <f>L255/E256*100</f>
        <v>94.99999975027852</v>
      </c>
      <c r="N255" s="1077">
        <f>287640.81+8149</f>
        <v>295789.81</v>
      </c>
      <c r="O255" s="1077">
        <f>N255/E255*100</f>
        <v>86.90012463752174</v>
      </c>
      <c r="P255" s="1077">
        <v>286713</v>
      </c>
      <c r="Q255" s="1083">
        <f>P255/E255*100</f>
        <v>84.23344751192671</v>
      </c>
      <c r="R255" s="779">
        <f>E255+F255</f>
        <v>400445.98</v>
      </c>
      <c r="S255" s="1114">
        <f>P255/E255*100</f>
        <v>84.23344751192671</v>
      </c>
      <c r="T255" s="1114">
        <f>N255/SUM(H255:I265)*100</f>
        <v>91.47381767100002</v>
      </c>
    </row>
    <row r="256" spans="1:20" ht="16.5" customHeight="1">
      <c r="A256" s="904"/>
      <c r="B256" s="1098"/>
      <c r="C256" s="1111">
        <f>SUM(C255:D255)</f>
        <v>358392</v>
      </c>
      <c r="D256" s="1112"/>
      <c r="E256" s="1111">
        <v>400445.98</v>
      </c>
      <c r="F256" s="1100"/>
      <c r="G256" s="1026">
        <v>400445.98</v>
      </c>
      <c r="H256" s="342">
        <v>41261.59</v>
      </c>
      <c r="I256" s="336">
        <v>41261.59</v>
      </c>
      <c r="J256" s="336">
        <v>7281.46</v>
      </c>
      <c r="K256" s="343">
        <v>7281.46</v>
      </c>
      <c r="L256" s="1079"/>
      <c r="M256" s="1079"/>
      <c r="N256" s="1079"/>
      <c r="O256" s="1075"/>
      <c r="P256" s="1079"/>
      <c r="Q256" s="1084"/>
      <c r="R256" s="779"/>
      <c r="S256" s="1115"/>
      <c r="T256" s="1115"/>
    </row>
    <row r="257" spans="1:20" ht="16.5" customHeight="1">
      <c r="A257" s="904"/>
      <c r="B257" s="1098"/>
      <c r="C257" s="1093"/>
      <c r="D257" s="1094"/>
      <c r="E257" s="1086"/>
      <c r="F257" s="1087"/>
      <c r="G257" s="1007"/>
      <c r="H257" s="342">
        <v>12012.14</v>
      </c>
      <c r="I257" s="336">
        <v>12012.14</v>
      </c>
      <c r="J257" s="336">
        <v>2119.79</v>
      </c>
      <c r="K257" s="343">
        <v>2119.79</v>
      </c>
      <c r="L257" s="1079"/>
      <c r="M257" s="1079"/>
      <c r="N257" s="1079"/>
      <c r="O257" s="1075"/>
      <c r="P257" s="1079"/>
      <c r="Q257" s="1084"/>
      <c r="R257" s="779"/>
      <c r="S257" s="1115"/>
      <c r="T257" s="1115"/>
    </row>
    <row r="258" spans="1:20" ht="16.5" customHeight="1">
      <c r="A258" s="904"/>
      <c r="B258" s="1098"/>
      <c r="C258" s="1093"/>
      <c r="D258" s="1094"/>
      <c r="E258" s="1086"/>
      <c r="F258" s="1087"/>
      <c r="G258" s="1007"/>
      <c r="H258" s="331">
        <v>17635.94</v>
      </c>
      <c r="I258" s="332">
        <v>17635.94</v>
      </c>
      <c r="J258" s="332">
        <v>3112.22</v>
      </c>
      <c r="K258" s="333">
        <v>3112.22</v>
      </c>
      <c r="L258" s="1079"/>
      <c r="M258" s="1079"/>
      <c r="N258" s="1079"/>
      <c r="O258" s="1075"/>
      <c r="P258" s="1079"/>
      <c r="Q258" s="1084"/>
      <c r="R258" s="779"/>
      <c r="S258" s="1115"/>
      <c r="T258" s="1115"/>
    </row>
    <row r="259" spans="1:20" ht="16.5" customHeight="1">
      <c r="A259" s="904"/>
      <c r="B259" s="1098"/>
      <c r="C259" s="1093"/>
      <c r="D259" s="1094"/>
      <c r="E259" s="1086"/>
      <c r="F259" s="1087"/>
      <c r="G259" s="1007"/>
      <c r="H259" s="331">
        <v>11270.14</v>
      </c>
      <c r="I259" s="332">
        <v>11270.14</v>
      </c>
      <c r="J259" s="332">
        <v>1988.85</v>
      </c>
      <c r="K259" s="333">
        <v>1988.85</v>
      </c>
      <c r="L259" s="1079"/>
      <c r="M259" s="1079"/>
      <c r="N259" s="1079"/>
      <c r="O259" s="1075"/>
      <c r="P259" s="1079"/>
      <c r="Q259" s="1084"/>
      <c r="R259" s="779"/>
      <c r="S259" s="1115"/>
      <c r="T259" s="1115"/>
    </row>
    <row r="260" spans="1:20" ht="16.5" customHeight="1">
      <c r="A260" s="904"/>
      <c r="B260" s="1098"/>
      <c r="C260" s="1093"/>
      <c r="D260" s="1094"/>
      <c r="E260" s="1086"/>
      <c r="F260" s="1087"/>
      <c r="G260" s="1007"/>
      <c r="H260" s="331">
        <v>6709.2</v>
      </c>
      <c r="I260" s="332">
        <v>6709.2</v>
      </c>
      <c r="J260" s="332">
        <v>1183.98</v>
      </c>
      <c r="K260" s="333">
        <v>1183.97</v>
      </c>
      <c r="L260" s="1079"/>
      <c r="M260" s="1079"/>
      <c r="N260" s="1079"/>
      <c r="O260" s="1075"/>
      <c r="P260" s="1079"/>
      <c r="Q260" s="1084"/>
      <c r="R260" s="779"/>
      <c r="S260" s="1115"/>
      <c r="T260" s="1115"/>
    </row>
    <row r="261" spans="1:20" ht="16.5" customHeight="1" thickBot="1">
      <c r="A261" s="904"/>
      <c r="B261" s="1098"/>
      <c r="C261" s="1093"/>
      <c r="D261" s="1094"/>
      <c r="E261" s="1086"/>
      <c r="F261" s="1087"/>
      <c r="G261" s="1007"/>
      <c r="H261" s="331">
        <v>26937.7</v>
      </c>
      <c r="I261" s="332">
        <v>26937.7</v>
      </c>
      <c r="J261" s="332">
        <v>4753.71</v>
      </c>
      <c r="K261" s="414">
        <v>4753.71</v>
      </c>
      <c r="L261" s="1079"/>
      <c r="M261" s="1079"/>
      <c r="N261" s="1079"/>
      <c r="O261" s="1075"/>
      <c r="P261" s="1079"/>
      <c r="Q261" s="1085"/>
      <c r="R261" s="779"/>
      <c r="S261" s="1115"/>
      <c r="T261" s="1115"/>
    </row>
    <row r="262" spans="1:20" ht="18.75" customHeight="1">
      <c r="A262" s="904"/>
      <c r="B262" s="1098"/>
      <c r="C262" s="1093"/>
      <c r="D262" s="1094"/>
      <c r="E262" s="1086"/>
      <c r="F262" s="1087"/>
      <c r="G262" s="1007"/>
      <c r="H262" s="331">
        <v>8972.53</v>
      </c>
      <c r="I262" s="332">
        <v>8972.53</v>
      </c>
      <c r="J262" s="332">
        <v>1583.39</v>
      </c>
      <c r="K262" s="414">
        <v>1583.39</v>
      </c>
      <c r="L262" s="1079"/>
      <c r="M262" s="1079"/>
      <c r="N262" s="1079"/>
      <c r="O262" s="1075"/>
      <c r="P262" s="1079"/>
      <c r="Q262" s="838"/>
      <c r="R262" s="779"/>
      <c r="S262" s="1115"/>
      <c r="T262" s="1115"/>
    </row>
    <row r="263" spans="1:20" ht="16.5" customHeight="1">
      <c r="A263" s="904"/>
      <c r="B263" s="1098"/>
      <c r="C263" s="1093"/>
      <c r="D263" s="1094"/>
      <c r="E263" s="1086"/>
      <c r="F263" s="1087"/>
      <c r="G263" s="1007"/>
      <c r="H263" s="331">
        <v>5327.5</v>
      </c>
      <c r="I263" s="332">
        <v>5327.5</v>
      </c>
      <c r="J263" s="332">
        <v>940.15</v>
      </c>
      <c r="K263" s="414">
        <v>940.14</v>
      </c>
      <c r="L263" s="1079"/>
      <c r="M263" s="1079"/>
      <c r="N263" s="1079"/>
      <c r="O263" s="1075"/>
      <c r="P263" s="1079"/>
      <c r="Q263" s="838"/>
      <c r="R263" s="779"/>
      <c r="S263" s="1115"/>
      <c r="T263" s="1115"/>
    </row>
    <row r="264" spans="1:20" ht="16.5" customHeight="1" thickBot="1">
      <c r="A264" s="904"/>
      <c r="B264" s="1098"/>
      <c r="C264" s="1093"/>
      <c r="D264" s="1094"/>
      <c r="E264" s="1086"/>
      <c r="F264" s="1087"/>
      <c r="G264" s="1008"/>
      <c r="H264" s="331">
        <v>12634.78</v>
      </c>
      <c r="I264" s="332">
        <v>12634.78</v>
      </c>
      <c r="J264" s="332">
        <v>2229.67</v>
      </c>
      <c r="K264" s="414">
        <v>2229.67</v>
      </c>
      <c r="L264" s="1079"/>
      <c r="M264" s="1079"/>
      <c r="N264" s="1079"/>
      <c r="O264" s="1075"/>
      <c r="P264" s="1079"/>
      <c r="Q264" s="838"/>
      <c r="R264" s="779">
        <f>E256</f>
        <v>400445.98</v>
      </c>
      <c r="S264" s="1115"/>
      <c r="T264" s="1115"/>
    </row>
    <row r="265" spans="1:20" ht="16.5" customHeight="1" thickBot="1">
      <c r="A265" s="1099"/>
      <c r="B265" s="1099"/>
      <c r="C265" s="994"/>
      <c r="D265" s="995"/>
      <c r="E265" s="1088"/>
      <c r="F265" s="1089"/>
      <c r="G265" s="386"/>
      <c r="H265" s="325">
        <v>1071.71</v>
      </c>
      <c r="I265" s="326">
        <v>1071.71</v>
      </c>
      <c r="J265" s="326">
        <v>189.14</v>
      </c>
      <c r="K265" s="338">
        <v>189.16</v>
      </c>
      <c r="L265" s="1080"/>
      <c r="M265" s="1080"/>
      <c r="N265" s="1080"/>
      <c r="O265" s="1078"/>
      <c r="P265" s="1080"/>
      <c r="Q265" s="838"/>
      <c r="R265" s="779"/>
      <c r="S265" s="1078"/>
      <c r="T265" s="1078"/>
    </row>
    <row r="266" spans="1:20" ht="15" customHeight="1">
      <c r="A266" s="1133" t="s">
        <v>203</v>
      </c>
      <c r="B266" s="1133" t="s">
        <v>202</v>
      </c>
      <c r="C266" s="317">
        <f>197603+197602</f>
        <v>395205</v>
      </c>
      <c r="D266" s="267">
        <v>69742</v>
      </c>
      <c r="E266" s="312">
        <v>396700.44</v>
      </c>
      <c r="F266" s="267">
        <v>70005.96</v>
      </c>
      <c r="G266" s="369">
        <v>464947</v>
      </c>
      <c r="H266" s="322">
        <v>851.94</v>
      </c>
      <c r="I266" s="323">
        <v>851.94</v>
      </c>
      <c r="J266" s="323">
        <v>150.34</v>
      </c>
      <c r="K266" s="339">
        <v>150.34</v>
      </c>
      <c r="L266" s="1158">
        <f>SUM(H266:K271)</f>
        <v>443371.08</v>
      </c>
      <c r="M266" s="1160">
        <f>L266/E267*100</f>
        <v>95</v>
      </c>
      <c r="N266" s="1160">
        <f>333891+14571*2</f>
        <v>363033</v>
      </c>
      <c r="O266" s="1160">
        <f>N266/E266*100</f>
        <v>91.51313268016543</v>
      </c>
      <c r="P266" s="1160">
        <f>364+364+607+608+115767+115766+100415+14571*2</f>
        <v>363033</v>
      </c>
      <c r="Q266" s="838"/>
      <c r="R266" s="779">
        <f>E266+F266</f>
        <v>466706.4</v>
      </c>
      <c r="S266" s="1154">
        <f>P266/E266*100</f>
        <v>91.51313268016543</v>
      </c>
      <c r="T266" s="1154">
        <f>N266/SUM(H266:I271)*100</f>
        <v>96.3296128363276</v>
      </c>
    </row>
    <row r="267" spans="1:20" ht="15" customHeight="1">
      <c r="A267" s="1134"/>
      <c r="B267" s="1134"/>
      <c r="C267" s="1119">
        <f>SUM(C266:D266)</f>
        <v>464947</v>
      </c>
      <c r="D267" s="1120"/>
      <c r="E267" s="1129">
        <f>E266+F266</f>
        <v>466706.4</v>
      </c>
      <c r="F267" s="1130"/>
      <c r="G267" s="1031">
        <v>464947</v>
      </c>
      <c r="H267" s="331">
        <v>118.85</v>
      </c>
      <c r="I267" s="332">
        <v>118.85</v>
      </c>
      <c r="J267" s="332">
        <v>20.98</v>
      </c>
      <c r="K267" s="414">
        <v>20.97</v>
      </c>
      <c r="L267" s="1159"/>
      <c r="M267" s="1161"/>
      <c r="N267" s="1161"/>
      <c r="O267" s="1161"/>
      <c r="P267" s="1161"/>
      <c r="Q267" s="838"/>
      <c r="R267" s="779"/>
      <c r="S267" s="1155"/>
      <c r="T267" s="1155"/>
    </row>
    <row r="268" spans="1:20" ht="18.75" customHeight="1" thickBot="1">
      <c r="A268" s="1134"/>
      <c r="B268" s="1134"/>
      <c r="C268" s="1121"/>
      <c r="D268" s="1122"/>
      <c r="E268" s="1131"/>
      <c r="F268" s="1118"/>
      <c r="G268" s="1033"/>
      <c r="H268" s="331">
        <v>38987.46</v>
      </c>
      <c r="I268" s="332">
        <v>38987.46</v>
      </c>
      <c r="J268" s="332">
        <v>6880.14</v>
      </c>
      <c r="K268" s="414">
        <v>6880.14</v>
      </c>
      <c r="L268" s="1159"/>
      <c r="M268" s="1161"/>
      <c r="N268" s="1161"/>
      <c r="O268" s="1161"/>
      <c r="P268" s="1161"/>
      <c r="Q268" s="838"/>
      <c r="R268" s="779">
        <f>E267</f>
        <v>466706.4</v>
      </c>
      <c r="S268" s="1155"/>
      <c r="T268" s="1155"/>
    </row>
    <row r="269" spans="1:20" ht="18.75" customHeight="1">
      <c r="A269" s="1134"/>
      <c r="B269" s="1134"/>
      <c r="C269" s="1121"/>
      <c r="D269" s="1122"/>
      <c r="E269" s="1131"/>
      <c r="F269" s="1118"/>
      <c r="G269" s="380"/>
      <c r="H269" s="331">
        <v>76779.39</v>
      </c>
      <c r="I269" s="332">
        <v>76779.39</v>
      </c>
      <c r="J269" s="332">
        <v>13549.32</v>
      </c>
      <c r="K269" s="414">
        <v>13549.31</v>
      </c>
      <c r="L269" s="1159"/>
      <c r="M269" s="1161"/>
      <c r="N269" s="1161"/>
      <c r="O269" s="1161"/>
      <c r="P269" s="1161"/>
      <c r="Q269" s="838"/>
      <c r="R269" s="779"/>
      <c r="S269" s="1155"/>
      <c r="T269" s="1155"/>
    </row>
    <row r="270" spans="1:20" ht="18.75" customHeight="1">
      <c r="A270" s="1067"/>
      <c r="B270" s="1067"/>
      <c r="C270" s="1144"/>
      <c r="D270" s="1145"/>
      <c r="E270" s="1144"/>
      <c r="F270" s="1145"/>
      <c r="G270" s="380"/>
      <c r="H270" s="331">
        <v>50207.38</v>
      </c>
      <c r="I270" s="332">
        <v>50207.38</v>
      </c>
      <c r="J270" s="332">
        <v>8860.14</v>
      </c>
      <c r="K270" s="414">
        <v>8860.13</v>
      </c>
      <c r="L270" s="1156"/>
      <c r="M270" s="1156"/>
      <c r="N270" s="1156"/>
      <c r="O270" s="1156"/>
      <c r="P270" s="1156"/>
      <c r="Q270" s="838"/>
      <c r="R270" s="779"/>
      <c r="S270" s="1156"/>
      <c r="T270" s="1156"/>
    </row>
    <row r="271" spans="1:20" ht="18.75" customHeight="1" thickBot="1">
      <c r="A271" s="1128"/>
      <c r="B271" s="1128"/>
      <c r="C271" s="1146"/>
      <c r="D271" s="1147"/>
      <c r="E271" s="1146"/>
      <c r="F271" s="1147"/>
      <c r="G271" s="380"/>
      <c r="H271" s="325">
        <v>21487.69</v>
      </c>
      <c r="I271" s="326">
        <v>21487.69</v>
      </c>
      <c r="J271" s="326">
        <v>3791.91</v>
      </c>
      <c r="K271" s="402">
        <v>3791.94</v>
      </c>
      <c r="L271" s="1132"/>
      <c r="M271" s="1132"/>
      <c r="N271" s="1132"/>
      <c r="O271" s="1132"/>
      <c r="P271" s="1132"/>
      <c r="Q271" s="838"/>
      <c r="R271" s="779"/>
      <c r="S271" s="1132"/>
      <c r="T271" s="1132"/>
    </row>
    <row r="272" spans="1:20" ht="18.75" customHeight="1">
      <c r="A272" s="1133" t="s">
        <v>43</v>
      </c>
      <c r="B272" s="1133" t="s">
        <v>44</v>
      </c>
      <c r="C272" s="19">
        <f>223698+223698</f>
        <v>447396</v>
      </c>
      <c r="D272" s="19">
        <v>78952</v>
      </c>
      <c r="E272" s="25">
        <v>495289.7</v>
      </c>
      <c r="F272" s="20">
        <v>87404.06</v>
      </c>
      <c r="G272" s="348">
        <v>582693.7580827192</v>
      </c>
      <c r="H272" s="322">
        <v>33305.62</v>
      </c>
      <c r="I272" s="323">
        <v>33305.62</v>
      </c>
      <c r="J272" s="323">
        <v>5877.461329084511</v>
      </c>
      <c r="K272" s="339">
        <v>5877.461329084511</v>
      </c>
      <c r="L272" s="1158">
        <f>SUM(H272:K280)</f>
        <v>579285.6587612029</v>
      </c>
      <c r="M272" s="1160">
        <f>L272/E273*100</f>
        <v>99.41511279633455</v>
      </c>
      <c r="N272" s="1077">
        <v>448391.13</v>
      </c>
      <c r="O272" s="1077">
        <f>N272/E272*100</f>
        <v>90.53108312165588</v>
      </c>
      <c r="P272" s="1077">
        <f>421079+13158+13159</f>
        <v>447396</v>
      </c>
      <c r="Q272" s="1028">
        <f>P272/E272*100</f>
        <v>90.3301643462402</v>
      </c>
      <c r="R272" s="779">
        <f>E272+F272</f>
        <v>582693.76</v>
      </c>
      <c r="S272" s="1123">
        <f>P272/E272*100</f>
        <v>90.3301643462402</v>
      </c>
      <c r="T272" s="1123">
        <f>N272/SUM(H272:I280)*100</f>
        <v>92.71323323351172</v>
      </c>
    </row>
    <row r="273" spans="1:20" ht="18.75" customHeight="1">
      <c r="A273" s="1134"/>
      <c r="B273" s="1134"/>
      <c r="C273" s="1129">
        <f>SUM(C272:D272)</f>
        <v>526348</v>
      </c>
      <c r="D273" s="1130"/>
      <c r="E273" s="1129">
        <f>E272+F272</f>
        <v>582693.76</v>
      </c>
      <c r="F273" s="1130"/>
      <c r="G273" s="1016">
        <v>582693.7580827192</v>
      </c>
      <c r="H273" s="331">
        <v>30665.09</v>
      </c>
      <c r="I273" s="332">
        <v>30665.09</v>
      </c>
      <c r="J273" s="332">
        <v>5411.485427869614</v>
      </c>
      <c r="K273" s="414">
        <v>5411.485095930425</v>
      </c>
      <c r="L273" s="1159"/>
      <c r="M273" s="1161"/>
      <c r="N273" s="1075"/>
      <c r="O273" s="1075"/>
      <c r="P273" s="1075"/>
      <c r="Q273" s="1084"/>
      <c r="R273" s="779"/>
      <c r="S273" s="1124"/>
      <c r="T273" s="1124"/>
    </row>
    <row r="274" spans="1:20" ht="18.75" customHeight="1">
      <c r="A274" s="1134"/>
      <c r="B274" s="1134"/>
      <c r="C274" s="1131"/>
      <c r="D274" s="1118"/>
      <c r="E274" s="1131"/>
      <c r="F274" s="1118"/>
      <c r="G274" s="1017"/>
      <c r="H274" s="325">
        <v>15880.9433711744</v>
      </c>
      <c r="I274" s="326">
        <v>15880.9433711744</v>
      </c>
      <c r="J274" s="326">
        <v>2802.5194184425413</v>
      </c>
      <c r="K274" s="402">
        <v>2802.5194184425413</v>
      </c>
      <c r="L274" s="1159"/>
      <c r="M274" s="1161"/>
      <c r="N274" s="1075"/>
      <c r="O274" s="1075"/>
      <c r="P274" s="1075"/>
      <c r="Q274" s="1084"/>
      <c r="R274" s="779"/>
      <c r="S274" s="1124"/>
      <c r="T274" s="1124"/>
    </row>
    <row r="275" spans="1:20" ht="18.75" customHeight="1">
      <c r="A275" s="1134"/>
      <c r="B275" s="1134"/>
      <c r="C275" s="1131"/>
      <c r="D275" s="1118"/>
      <c r="E275" s="1131"/>
      <c r="F275" s="1118"/>
      <c r="G275" s="1017"/>
      <c r="H275" s="851">
        <v>77952.3</v>
      </c>
      <c r="I275" s="852">
        <v>77952.3</v>
      </c>
      <c r="J275" s="852">
        <v>13756.29</v>
      </c>
      <c r="K275" s="809">
        <v>13756.29</v>
      </c>
      <c r="L275" s="1159"/>
      <c r="M275" s="1161"/>
      <c r="N275" s="1075"/>
      <c r="O275" s="1075"/>
      <c r="P275" s="1075"/>
      <c r="Q275" s="1084"/>
      <c r="R275" s="779"/>
      <c r="S275" s="1124"/>
      <c r="T275" s="1124"/>
    </row>
    <row r="276" spans="1:20" ht="18.75" customHeight="1">
      <c r="A276" s="1134"/>
      <c r="B276" s="1134"/>
      <c r="C276" s="1131"/>
      <c r="D276" s="1118"/>
      <c r="E276" s="1131"/>
      <c r="F276" s="1118"/>
      <c r="G276" s="1017"/>
      <c r="H276" s="331">
        <v>28755.98</v>
      </c>
      <c r="I276" s="332">
        <v>28755.98</v>
      </c>
      <c r="J276" s="332">
        <v>5074.58</v>
      </c>
      <c r="K276" s="414">
        <v>5074.58</v>
      </c>
      <c r="L276" s="1159"/>
      <c r="M276" s="1161"/>
      <c r="N276" s="1075"/>
      <c r="O276" s="1075"/>
      <c r="P276" s="1075"/>
      <c r="Q276" s="1084"/>
      <c r="R276" s="779"/>
      <c r="S276" s="1124"/>
      <c r="T276" s="1124"/>
    </row>
    <row r="277" spans="1:20" ht="18.75" customHeight="1">
      <c r="A277" s="1134"/>
      <c r="B277" s="1134"/>
      <c r="C277" s="1131"/>
      <c r="D277" s="1118"/>
      <c r="E277" s="1131"/>
      <c r="F277" s="1118"/>
      <c r="G277" s="1017"/>
      <c r="H277" s="331">
        <v>43350.14</v>
      </c>
      <c r="I277" s="332">
        <v>43350.14</v>
      </c>
      <c r="J277" s="332">
        <v>7650.02</v>
      </c>
      <c r="K277" s="414">
        <v>7650.02</v>
      </c>
      <c r="L277" s="1159"/>
      <c r="M277" s="1161"/>
      <c r="N277" s="1075"/>
      <c r="O277" s="1075"/>
      <c r="P277" s="1075"/>
      <c r="Q277" s="1084"/>
      <c r="R277" s="779"/>
      <c r="S277" s="1124"/>
      <c r="T277" s="1124"/>
    </row>
    <row r="278" spans="1:20" ht="18.75" customHeight="1">
      <c r="A278" s="1134"/>
      <c r="B278" s="1134"/>
      <c r="C278" s="1131"/>
      <c r="D278" s="1118"/>
      <c r="E278" s="1131"/>
      <c r="F278" s="1118"/>
      <c r="G278" s="1017"/>
      <c r="H278" s="331">
        <v>0</v>
      </c>
      <c r="I278" s="332">
        <v>0</v>
      </c>
      <c r="J278" s="332">
        <v>5153.26</v>
      </c>
      <c r="K278" s="414">
        <v>5153.26</v>
      </c>
      <c r="L278" s="1159"/>
      <c r="M278" s="1161"/>
      <c r="N278" s="1075"/>
      <c r="O278" s="1075"/>
      <c r="P278" s="1075"/>
      <c r="Q278" s="1084"/>
      <c r="R278" s="779"/>
      <c r="S278" s="1124"/>
      <c r="T278" s="1124"/>
    </row>
    <row r="279" spans="1:20" ht="18.75" customHeight="1">
      <c r="A279" s="1134"/>
      <c r="B279" s="1134"/>
      <c r="C279" s="1144"/>
      <c r="D279" s="1145"/>
      <c r="E279" s="1131"/>
      <c r="F279" s="1118"/>
      <c r="G279" s="1017"/>
      <c r="H279" s="331">
        <v>972.27</v>
      </c>
      <c r="I279" s="332">
        <v>972.27</v>
      </c>
      <c r="J279" s="332">
        <v>171.58</v>
      </c>
      <c r="K279" s="414">
        <v>171.57</v>
      </c>
      <c r="L279" s="1159"/>
      <c r="M279" s="1161"/>
      <c r="N279" s="1075"/>
      <c r="O279" s="1075"/>
      <c r="P279" s="1075"/>
      <c r="Q279" s="900"/>
      <c r="R279" s="779"/>
      <c r="S279" s="1124"/>
      <c r="T279" s="1124"/>
    </row>
    <row r="280" spans="1:20" ht="18.75" customHeight="1" thickBot="1">
      <c r="A280" s="1090"/>
      <c r="B280" s="1090"/>
      <c r="C280" s="1146"/>
      <c r="D280" s="1147"/>
      <c r="E280" s="1102"/>
      <c r="F280" s="1103"/>
      <c r="G280" s="1018"/>
      <c r="H280" s="346">
        <v>10933.8</v>
      </c>
      <c r="I280" s="350">
        <v>10933.8</v>
      </c>
      <c r="J280" s="350">
        <v>1929.5</v>
      </c>
      <c r="K280" s="810">
        <v>1929.49</v>
      </c>
      <c r="L280" s="1113"/>
      <c r="M280" s="1126"/>
      <c r="N280" s="1076"/>
      <c r="O280" s="1076"/>
      <c r="P280" s="1076"/>
      <c r="Q280" s="838"/>
      <c r="R280" s="779">
        <f>E273</f>
        <v>582693.76</v>
      </c>
      <c r="S280" s="1125"/>
      <c r="T280" s="1125"/>
    </row>
    <row r="281" spans="1:20" ht="15" customHeight="1">
      <c r="A281" s="1133" t="s">
        <v>45</v>
      </c>
      <c r="B281" s="1133" t="s">
        <v>46</v>
      </c>
      <c r="C281" s="11">
        <f>175584+175583</f>
        <v>351167</v>
      </c>
      <c r="D281" s="11">
        <v>61971</v>
      </c>
      <c r="E281" s="25">
        <v>382220.44</v>
      </c>
      <c r="F281" s="20">
        <v>67450.88</v>
      </c>
      <c r="G281" s="348">
        <v>449671.21522936993</v>
      </c>
      <c r="H281" s="322">
        <v>56773.36</v>
      </c>
      <c r="I281" s="323">
        <v>56773.36</v>
      </c>
      <c r="J281" s="323">
        <v>10018.83</v>
      </c>
      <c r="K281" s="339">
        <v>10018.83</v>
      </c>
      <c r="L281" s="1158">
        <f>SUM(H281:K297)</f>
        <v>425516.20999999996</v>
      </c>
      <c r="M281" s="1160">
        <f>L281/E282*100</f>
        <v>94.62827426930407</v>
      </c>
      <c r="N281" s="782">
        <f>335312.73+2335+144+144</f>
        <v>337935.73</v>
      </c>
      <c r="O281" s="782">
        <f>N281/E281*100</f>
        <v>88.41382998774215</v>
      </c>
      <c r="P281" s="1160">
        <v>330222</v>
      </c>
      <c r="Q281" s="1083">
        <f>P281/E281*100</f>
        <v>86.39569354271059</v>
      </c>
      <c r="R281" s="779">
        <f>E281+F281</f>
        <v>449671.32</v>
      </c>
      <c r="S281" s="1154">
        <f>P281/E281*100</f>
        <v>86.39569354271059</v>
      </c>
      <c r="T281" s="1154">
        <f>N281/SUM(H281:I297)*100</f>
        <v>93.4327586125859</v>
      </c>
    </row>
    <row r="282" spans="1:20" ht="15" customHeight="1">
      <c r="A282" s="1134"/>
      <c r="B282" s="1134"/>
      <c r="C282" s="1129">
        <f>SUM(C281:D281)</f>
        <v>413138</v>
      </c>
      <c r="D282" s="1130"/>
      <c r="E282" s="1129">
        <f>E281+F281</f>
        <v>449671.32</v>
      </c>
      <c r="F282" s="1130"/>
      <c r="G282" s="1091">
        <v>449671.21522936993</v>
      </c>
      <c r="H282" s="325">
        <v>66687.08</v>
      </c>
      <c r="I282" s="326">
        <v>66687.08</v>
      </c>
      <c r="J282" s="326">
        <v>11768.3</v>
      </c>
      <c r="K282" s="402">
        <v>11768.3</v>
      </c>
      <c r="L282" s="1159"/>
      <c r="M282" s="1161"/>
      <c r="N282" s="783"/>
      <c r="O282" s="783"/>
      <c r="P282" s="1161"/>
      <c r="Q282" s="1084"/>
      <c r="R282" s="779"/>
      <c r="S282" s="1155"/>
      <c r="T282" s="1155"/>
    </row>
    <row r="283" spans="1:20" ht="15" customHeight="1">
      <c r="A283" s="1134"/>
      <c r="B283" s="1134"/>
      <c r="C283" s="1131"/>
      <c r="D283" s="1118"/>
      <c r="E283" s="1131"/>
      <c r="F283" s="1118"/>
      <c r="G283" s="1092"/>
      <c r="H283" s="331">
        <v>1989.17</v>
      </c>
      <c r="I283" s="332">
        <v>1989.17</v>
      </c>
      <c r="J283" s="332">
        <v>351.03</v>
      </c>
      <c r="K283" s="414">
        <v>351.03</v>
      </c>
      <c r="L283" s="1159"/>
      <c r="M283" s="1161"/>
      <c r="N283" s="783"/>
      <c r="O283" s="783"/>
      <c r="P283" s="1161"/>
      <c r="Q283" s="1084"/>
      <c r="R283" s="779"/>
      <c r="S283" s="1155"/>
      <c r="T283" s="1155"/>
    </row>
    <row r="284" spans="1:20" ht="15" customHeight="1">
      <c r="A284" s="1134"/>
      <c r="B284" s="1134"/>
      <c r="C284" s="1131"/>
      <c r="D284" s="1118"/>
      <c r="E284" s="1131"/>
      <c r="F284" s="1118"/>
      <c r="G284" s="1092"/>
      <c r="H284" s="325">
        <v>5631.31</v>
      </c>
      <c r="I284" s="326">
        <v>5631.31</v>
      </c>
      <c r="J284" s="326">
        <v>993.76</v>
      </c>
      <c r="K284" s="402">
        <v>993.76</v>
      </c>
      <c r="L284" s="1159"/>
      <c r="M284" s="1161"/>
      <c r="N284" s="783"/>
      <c r="O284" s="783"/>
      <c r="P284" s="1161"/>
      <c r="Q284" s="1084"/>
      <c r="R284" s="779"/>
      <c r="S284" s="1155"/>
      <c r="T284" s="1155"/>
    </row>
    <row r="285" spans="1:20" ht="15" customHeight="1">
      <c r="A285" s="1134"/>
      <c r="B285" s="1134"/>
      <c r="C285" s="1131"/>
      <c r="D285" s="1118"/>
      <c r="E285" s="1131"/>
      <c r="F285" s="1118"/>
      <c r="G285" s="1092"/>
      <c r="H285" s="331">
        <v>6798.52</v>
      </c>
      <c r="I285" s="332">
        <v>6798.52</v>
      </c>
      <c r="J285" s="332">
        <v>1199.75</v>
      </c>
      <c r="K285" s="414">
        <v>1199.75</v>
      </c>
      <c r="L285" s="1159"/>
      <c r="M285" s="1161"/>
      <c r="N285" s="783"/>
      <c r="O285" s="783"/>
      <c r="P285" s="1161"/>
      <c r="Q285" s="1084"/>
      <c r="R285" s="779"/>
      <c r="S285" s="1155"/>
      <c r="T285" s="1155"/>
    </row>
    <row r="286" spans="1:20" ht="15" customHeight="1">
      <c r="A286" s="1134"/>
      <c r="B286" s="1134"/>
      <c r="C286" s="1131"/>
      <c r="D286" s="1118"/>
      <c r="E286" s="1131"/>
      <c r="F286" s="1118"/>
      <c r="G286" s="1092"/>
      <c r="H286" s="331">
        <v>112.85</v>
      </c>
      <c r="I286" s="332">
        <v>112.85</v>
      </c>
      <c r="J286" s="332">
        <v>19.92</v>
      </c>
      <c r="K286" s="414">
        <v>19.92</v>
      </c>
      <c r="L286" s="1159"/>
      <c r="M286" s="1161"/>
      <c r="N286" s="783"/>
      <c r="O286" s="783"/>
      <c r="P286" s="1161"/>
      <c r="Q286" s="1084"/>
      <c r="R286" s="779"/>
      <c r="S286" s="1155"/>
      <c r="T286" s="1155"/>
    </row>
    <row r="287" spans="1:20" ht="15" customHeight="1">
      <c r="A287" s="1134"/>
      <c r="B287" s="1134"/>
      <c r="C287" s="1131"/>
      <c r="D287" s="1118"/>
      <c r="E287" s="1131"/>
      <c r="F287" s="1118"/>
      <c r="G287" s="1092"/>
      <c r="H287" s="331">
        <v>11919.85</v>
      </c>
      <c r="I287" s="332">
        <v>11919.85</v>
      </c>
      <c r="J287" s="332">
        <v>2103.5</v>
      </c>
      <c r="K287" s="414">
        <v>2103.5</v>
      </c>
      <c r="L287" s="1159"/>
      <c r="M287" s="1161"/>
      <c r="N287" s="783"/>
      <c r="O287" s="783"/>
      <c r="P287" s="1161"/>
      <c r="Q287" s="1084"/>
      <c r="R287" s="779"/>
      <c r="S287" s="1155"/>
      <c r="T287" s="1155"/>
    </row>
    <row r="288" spans="1:20" ht="15" customHeight="1">
      <c r="A288" s="1134"/>
      <c r="B288" s="1134"/>
      <c r="C288" s="1131"/>
      <c r="D288" s="1118"/>
      <c r="E288" s="1131"/>
      <c r="F288" s="1118"/>
      <c r="G288" s="1092"/>
      <c r="H288" s="331">
        <v>968.64</v>
      </c>
      <c r="I288" s="332">
        <v>968.64</v>
      </c>
      <c r="J288" s="332">
        <v>170.94</v>
      </c>
      <c r="K288" s="414">
        <v>170.94</v>
      </c>
      <c r="L288" s="1159"/>
      <c r="M288" s="1161"/>
      <c r="N288" s="783"/>
      <c r="O288" s="783"/>
      <c r="P288" s="1161"/>
      <c r="Q288" s="1084"/>
      <c r="R288" s="779"/>
      <c r="S288" s="1155"/>
      <c r="T288" s="1155"/>
    </row>
    <row r="289" spans="1:20" ht="15" customHeight="1">
      <c r="A289" s="1134"/>
      <c r="B289" s="1134"/>
      <c r="C289" s="1131"/>
      <c r="D289" s="1118"/>
      <c r="E289" s="1131"/>
      <c r="F289" s="1118"/>
      <c r="G289" s="1092"/>
      <c r="H289" s="331">
        <v>2200.68</v>
      </c>
      <c r="I289" s="332">
        <v>2200.68</v>
      </c>
      <c r="J289" s="332">
        <v>388.36</v>
      </c>
      <c r="K289" s="414">
        <v>388.36</v>
      </c>
      <c r="L289" s="1159"/>
      <c r="M289" s="1161"/>
      <c r="N289" s="783"/>
      <c r="O289" s="783"/>
      <c r="P289" s="1161"/>
      <c r="Q289" s="1084"/>
      <c r="R289" s="779"/>
      <c r="S289" s="1155"/>
      <c r="T289" s="1155"/>
    </row>
    <row r="290" spans="1:20" ht="15" customHeight="1" thickBot="1">
      <c r="A290" s="1134"/>
      <c r="B290" s="1134"/>
      <c r="C290" s="1131"/>
      <c r="D290" s="1118"/>
      <c r="E290" s="1131"/>
      <c r="F290" s="1118"/>
      <c r="G290" s="1092"/>
      <c r="H290" s="331">
        <v>10131.31</v>
      </c>
      <c r="I290" s="332">
        <v>10131.31</v>
      </c>
      <c r="J290" s="332">
        <v>1787.88</v>
      </c>
      <c r="K290" s="414">
        <v>1787.88</v>
      </c>
      <c r="L290" s="1159"/>
      <c r="M290" s="1161"/>
      <c r="N290" s="783"/>
      <c r="O290" s="783"/>
      <c r="P290" s="1161"/>
      <c r="Q290" s="1085"/>
      <c r="R290" s="779"/>
      <c r="S290" s="1155"/>
      <c r="T290" s="1155"/>
    </row>
    <row r="291" spans="1:20" ht="15" customHeight="1">
      <c r="A291" s="1134"/>
      <c r="B291" s="1134"/>
      <c r="C291" s="1131"/>
      <c r="D291" s="1118"/>
      <c r="E291" s="1131"/>
      <c r="F291" s="1118"/>
      <c r="G291" s="1092"/>
      <c r="H291" s="331">
        <v>473.25</v>
      </c>
      <c r="I291" s="332">
        <v>473.25</v>
      </c>
      <c r="J291" s="332">
        <v>83.52</v>
      </c>
      <c r="K291" s="414">
        <v>83.51</v>
      </c>
      <c r="L291" s="1159"/>
      <c r="M291" s="1161"/>
      <c r="N291" s="783"/>
      <c r="O291" s="783"/>
      <c r="P291" s="1161"/>
      <c r="Q291" s="838"/>
      <c r="R291" s="779"/>
      <c r="S291" s="1155"/>
      <c r="T291" s="1155"/>
    </row>
    <row r="292" spans="1:20" ht="15" customHeight="1">
      <c r="A292" s="1134"/>
      <c r="B292" s="1134"/>
      <c r="C292" s="1131"/>
      <c r="D292" s="1118"/>
      <c r="E292" s="1131"/>
      <c r="F292" s="1118"/>
      <c r="G292" s="1092"/>
      <c r="H292" s="331">
        <v>10725.5</v>
      </c>
      <c r="I292" s="332">
        <v>10725.5</v>
      </c>
      <c r="J292" s="332">
        <v>1892.75</v>
      </c>
      <c r="K292" s="414">
        <v>1892.74</v>
      </c>
      <c r="L292" s="1159"/>
      <c r="M292" s="1161"/>
      <c r="N292" s="783"/>
      <c r="O292" s="783"/>
      <c r="P292" s="1161"/>
      <c r="Q292" s="838"/>
      <c r="R292" s="779"/>
      <c r="S292" s="1155"/>
      <c r="T292" s="1155"/>
    </row>
    <row r="293" spans="1:20" ht="15" customHeight="1" thickBot="1">
      <c r="A293" s="1063"/>
      <c r="B293" s="1067"/>
      <c r="C293" s="1131"/>
      <c r="D293" s="1118"/>
      <c r="E293" s="1144"/>
      <c r="F293" s="1145"/>
      <c r="G293" s="1081"/>
      <c r="H293" s="331">
        <v>2613.62</v>
      </c>
      <c r="I293" s="332">
        <v>2613.62</v>
      </c>
      <c r="J293" s="332">
        <v>461.24</v>
      </c>
      <c r="K293" s="414">
        <v>461.23</v>
      </c>
      <c r="L293" s="1156"/>
      <c r="M293" s="1156"/>
      <c r="N293" s="1156"/>
      <c r="O293" s="783"/>
      <c r="P293" s="1156"/>
      <c r="Q293" s="838"/>
      <c r="R293" s="779">
        <f>E282</f>
        <v>449671.32</v>
      </c>
      <c r="S293" s="1155"/>
      <c r="T293" s="1155"/>
    </row>
    <row r="294" spans="1:20" ht="15" customHeight="1">
      <c r="A294" s="1067"/>
      <c r="B294" s="1067"/>
      <c r="C294" s="1131"/>
      <c r="D294" s="1118"/>
      <c r="E294" s="1144"/>
      <c r="F294" s="1145"/>
      <c r="G294" s="391"/>
      <c r="H294" s="331">
        <v>606.54</v>
      </c>
      <c r="I294" s="332">
        <v>606.54</v>
      </c>
      <c r="J294" s="332">
        <v>107.04</v>
      </c>
      <c r="K294" s="414">
        <v>107.04</v>
      </c>
      <c r="L294" s="1156"/>
      <c r="M294" s="1156"/>
      <c r="N294" s="1156"/>
      <c r="O294" s="1156"/>
      <c r="P294" s="1156"/>
      <c r="Q294" s="838"/>
      <c r="R294" s="779"/>
      <c r="S294" s="1156"/>
      <c r="T294" s="1156"/>
    </row>
    <row r="295" spans="1:20" ht="15" customHeight="1">
      <c r="A295" s="1067"/>
      <c r="B295" s="1067"/>
      <c r="C295" s="1144"/>
      <c r="D295" s="1145"/>
      <c r="E295" s="1144"/>
      <c r="F295" s="1145"/>
      <c r="G295" s="391"/>
      <c r="H295" s="331">
        <v>435.19</v>
      </c>
      <c r="I295" s="332">
        <v>435.19</v>
      </c>
      <c r="J295" s="332">
        <v>76.81</v>
      </c>
      <c r="K295" s="414">
        <v>76.8</v>
      </c>
      <c r="L295" s="1156"/>
      <c r="M295" s="1156"/>
      <c r="N295" s="1156"/>
      <c r="O295" s="1156"/>
      <c r="P295" s="1156"/>
      <c r="Q295" s="838"/>
      <c r="R295" s="779"/>
      <c r="S295" s="1156"/>
      <c r="T295" s="1156"/>
    </row>
    <row r="296" spans="1:20" ht="15" customHeight="1">
      <c r="A296" s="1067"/>
      <c r="B296" s="1067"/>
      <c r="C296" s="1144"/>
      <c r="D296" s="1145"/>
      <c r="E296" s="1144"/>
      <c r="F296" s="1145"/>
      <c r="G296" s="391"/>
      <c r="H296" s="331">
        <v>1575.78</v>
      </c>
      <c r="I296" s="332">
        <v>1575.78</v>
      </c>
      <c r="J296" s="332">
        <v>278.09</v>
      </c>
      <c r="K296" s="414">
        <v>278.08</v>
      </c>
      <c r="L296" s="1156"/>
      <c r="M296" s="1156"/>
      <c r="N296" s="1156"/>
      <c r="O296" s="1156"/>
      <c r="P296" s="1156"/>
      <c r="Q296" s="838"/>
      <c r="R296" s="779"/>
      <c r="S296" s="1156"/>
      <c r="T296" s="1156"/>
    </row>
    <row r="297" spans="1:20" ht="15" customHeight="1" thickBot="1">
      <c r="A297" s="1128"/>
      <c r="B297" s="1128"/>
      <c r="C297" s="1146"/>
      <c r="D297" s="1147"/>
      <c r="E297" s="1146"/>
      <c r="F297" s="1147"/>
      <c r="G297" s="391"/>
      <c r="H297" s="325">
        <v>1201.7</v>
      </c>
      <c r="I297" s="326">
        <v>1201.7</v>
      </c>
      <c r="J297" s="326">
        <v>212.06</v>
      </c>
      <c r="K297" s="338">
        <v>212.06</v>
      </c>
      <c r="L297" s="1157"/>
      <c r="M297" s="1157"/>
      <c r="N297" s="1157"/>
      <c r="O297" s="1157"/>
      <c r="P297" s="1157"/>
      <c r="Q297" s="838"/>
      <c r="R297" s="779"/>
      <c r="S297" s="1157"/>
      <c r="T297" s="1157"/>
    </row>
    <row r="298" spans="1:20" ht="15" customHeight="1">
      <c r="A298" s="935" t="s">
        <v>27</v>
      </c>
      <c r="B298" s="935" t="s">
        <v>28</v>
      </c>
      <c r="C298" s="75">
        <f>160514+160514</f>
        <v>321028</v>
      </c>
      <c r="D298" s="78">
        <v>56652</v>
      </c>
      <c r="E298" s="61">
        <v>355394.2</v>
      </c>
      <c r="F298" s="80">
        <v>62716.62</v>
      </c>
      <c r="G298" s="348">
        <v>418110.8188674235</v>
      </c>
      <c r="H298" s="322">
        <v>14504.3</v>
      </c>
      <c r="I298" s="323">
        <v>14504.3</v>
      </c>
      <c r="J298" s="323">
        <v>2559.58</v>
      </c>
      <c r="K298" s="334">
        <v>2559.58</v>
      </c>
      <c r="L298" s="1158">
        <f>SUM(H298:K306)</f>
        <v>402797.5599999999</v>
      </c>
      <c r="M298" s="1160">
        <f>L298/E299*100</f>
        <v>96.33751166736127</v>
      </c>
      <c r="N298" s="1160">
        <f>303357.15+9442*2</f>
        <v>322241.15</v>
      </c>
      <c r="O298" s="1160">
        <f>N298/E298*100</f>
        <v>90.67147128456233</v>
      </c>
      <c r="P298" s="1160">
        <f>175288+31505+31505+31923*2+7568+7567</f>
        <v>317279</v>
      </c>
      <c r="Q298" s="1083">
        <f>P298/E298*100</f>
        <v>89.27523296666068</v>
      </c>
      <c r="R298" s="779">
        <f>E298+F298</f>
        <v>418110.82</v>
      </c>
      <c r="S298" s="1154">
        <f>P298/E298*100</f>
        <v>89.27523296666068</v>
      </c>
      <c r="T298" s="1154">
        <f>N298/SUM(H298:I306)*100</f>
        <v>94.11855472455703</v>
      </c>
    </row>
    <row r="299" spans="1:20" ht="15" customHeight="1">
      <c r="A299" s="936"/>
      <c r="B299" s="936"/>
      <c r="C299" s="1148">
        <f>SUM(C298:D298)</f>
        <v>377680</v>
      </c>
      <c r="D299" s="1149"/>
      <c r="E299" s="1148">
        <v>418110.82</v>
      </c>
      <c r="F299" s="1149"/>
      <c r="G299" s="1104">
        <v>418110.8188674235</v>
      </c>
      <c r="H299" s="331">
        <v>15474.97</v>
      </c>
      <c r="I299" s="332">
        <v>15474.97</v>
      </c>
      <c r="J299" s="332">
        <v>2730.88</v>
      </c>
      <c r="K299" s="335">
        <v>2730.88</v>
      </c>
      <c r="L299" s="1159"/>
      <c r="M299" s="1161"/>
      <c r="N299" s="1161"/>
      <c r="O299" s="1161"/>
      <c r="P299" s="1161"/>
      <c r="Q299" s="1084"/>
      <c r="R299" s="779"/>
      <c r="S299" s="1155"/>
      <c r="T299" s="1155"/>
    </row>
    <row r="300" spans="1:20" ht="15" customHeight="1">
      <c r="A300" s="936"/>
      <c r="B300" s="936"/>
      <c r="C300" s="1150"/>
      <c r="D300" s="1151"/>
      <c r="E300" s="1150"/>
      <c r="F300" s="1151"/>
      <c r="G300" s="1082"/>
      <c r="H300" s="331">
        <v>24480.37</v>
      </c>
      <c r="I300" s="332">
        <v>24480.37</v>
      </c>
      <c r="J300" s="332">
        <v>4320.07</v>
      </c>
      <c r="K300" s="333">
        <v>4320.07</v>
      </c>
      <c r="L300" s="1159"/>
      <c r="M300" s="1161"/>
      <c r="N300" s="1161"/>
      <c r="O300" s="1161"/>
      <c r="P300" s="1161"/>
      <c r="Q300" s="1084"/>
      <c r="R300" s="779"/>
      <c r="S300" s="1155"/>
      <c r="T300" s="1155"/>
    </row>
    <row r="301" spans="1:20" ht="15" customHeight="1">
      <c r="A301" s="936"/>
      <c r="B301" s="936"/>
      <c r="C301" s="1150"/>
      <c r="D301" s="1151"/>
      <c r="E301" s="1150"/>
      <c r="F301" s="1151"/>
      <c r="G301" s="1082"/>
      <c r="H301" s="342">
        <v>24712.72</v>
      </c>
      <c r="I301" s="336">
        <v>24712.72</v>
      </c>
      <c r="J301" s="336">
        <v>4361.07</v>
      </c>
      <c r="K301" s="343">
        <v>4361.07</v>
      </c>
      <c r="L301" s="1159"/>
      <c r="M301" s="1161"/>
      <c r="N301" s="1161"/>
      <c r="O301" s="1161"/>
      <c r="P301" s="1161"/>
      <c r="Q301" s="1084"/>
      <c r="R301" s="779"/>
      <c r="S301" s="1155"/>
      <c r="T301" s="1155"/>
    </row>
    <row r="302" spans="1:20" ht="15" customHeight="1">
      <c r="A302" s="936"/>
      <c r="B302" s="936"/>
      <c r="C302" s="1150"/>
      <c r="D302" s="1151"/>
      <c r="E302" s="1150"/>
      <c r="F302" s="1151"/>
      <c r="G302" s="1082"/>
      <c r="H302" s="331">
        <v>9078.22</v>
      </c>
      <c r="I302" s="332">
        <v>9078.22</v>
      </c>
      <c r="J302" s="332">
        <v>1602.04</v>
      </c>
      <c r="K302" s="333">
        <v>1602.04</v>
      </c>
      <c r="L302" s="1159"/>
      <c r="M302" s="1161"/>
      <c r="N302" s="1161"/>
      <c r="O302" s="1161"/>
      <c r="P302" s="1161"/>
      <c r="Q302" s="1084"/>
      <c r="R302" s="779"/>
      <c r="S302" s="1155"/>
      <c r="T302" s="1155"/>
    </row>
    <row r="303" spans="1:20" ht="15" customHeight="1">
      <c r="A303" s="936"/>
      <c r="B303" s="936"/>
      <c r="C303" s="1150"/>
      <c r="D303" s="1151"/>
      <c r="E303" s="1150"/>
      <c r="F303" s="1151"/>
      <c r="G303" s="1082"/>
      <c r="H303" s="331">
        <v>31504.92</v>
      </c>
      <c r="I303" s="332">
        <v>31504.92</v>
      </c>
      <c r="J303" s="332">
        <v>5559.69</v>
      </c>
      <c r="K303" s="333">
        <v>5559.69</v>
      </c>
      <c r="L303" s="1159"/>
      <c r="M303" s="1161"/>
      <c r="N303" s="1161"/>
      <c r="O303" s="1161"/>
      <c r="P303" s="1161"/>
      <c r="Q303" s="1084"/>
      <c r="R303" s="779"/>
      <c r="S303" s="1155"/>
      <c r="T303" s="1155"/>
    </row>
    <row r="304" spans="1:20" ht="15" customHeight="1" thickBot="1">
      <c r="A304" s="936"/>
      <c r="B304" s="936"/>
      <c r="C304" s="1150"/>
      <c r="D304" s="1151"/>
      <c r="E304" s="1150"/>
      <c r="F304" s="1151"/>
      <c r="G304" s="1082"/>
      <c r="H304" s="331">
        <v>11155.68</v>
      </c>
      <c r="I304" s="332">
        <v>11155.68</v>
      </c>
      <c r="J304" s="332">
        <v>1968.66</v>
      </c>
      <c r="K304" s="333">
        <v>1968.65</v>
      </c>
      <c r="L304" s="1159"/>
      <c r="M304" s="1161"/>
      <c r="N304" s="1161"/>
      <c r="O304" s="1161"/>
      <c r="P304" s="1161"/>
      <c r="Q304" s="1085"/>
      <c r="R304" s="779"/>
      <c r="S304" s="1155"/>
      <c r="T304" s="1155"/>
    </row>
    <row r="305" spans="1:20" ht="15" customHeight="1" thickBot="1">
      <c r="A305" s="936"/>
      <c r="B305" s="936"/>
      <c r="C305" s="1150"/>
      <c r="D305" s="1151"/>
      <c r="E305" s="1150"/>
      <c r="F305" s="1151"/>
      <c r="G305" s="1105"/>
      <c r="H305" s="331">
        <v>37901.05</v>
      </c>
      <c r="I305" s="332">
        <v>37901.05</v>
      </c>
      <c r="J305" s="332">
        <v>6688.41</v>
      </c>
      <c r="K305" s="333">
        <v>6688.42</v>
      </c>
      <c r="L305" s="1159"/>
      <c r="M305" s="1161"/>
      <c r="N305" s="1161"/>
      <c r="O305" s="1161"/>
      <c r="P305" s="1161"/>
      <c r="Q305" s="838"/>
      <c r="R305" s="779">
        <f>E299</f>
        <v>418110.82</v>
      </c>
      <c r="S305" s="1155"/>
      <c r="T305" s="1155"/>
    </row>
    <row r="306" spans="1:20" ht="15" customHeight="1" thickBot="1">
      <c r="A306" s="1128"/>
      <c r="B306" s="1128"/>
      <c r="C306" s="1152"/>
      <c r="D306" s="1153"/>
      <c r="E306" s="1152"/>
      <c r="F306" s="1153"/>
      <c r="G306" s="382"/>
      <c r="H306" s="325">
        <v>2376.73</v>
      </c>
      <c r="I306" s="326">
        <v>2376.73</v>
      </c>
      <c r="J306" s="326">
        <v>419.42</v>
      </c>
      <c r="K306" s="345">
        <v>419.42</v>
      </c>
      <c r="L306" s="1132"/>
      <c r="M306" s="1132"/>
      <c r="N306" s="1132"/>
      <c r="O306" s="1132"/>
      <c r="P306" s="1132"/>
      <c r="Q306" s="838"/>
      <c r="R306" s="779"/>
      <c r="S306" s="1132"/>
      <c r="T306" s="1132"/>
    </row>
    <row r="307" spans="1:20" ht="15" customHeight="1">
      <c r="A307" s="1133" t="s">
        <v>59</v>
      </c>
      <c r="B307" s="1133" t="s">
        <v>60</v>
      </c>
      <c r="C307" s="25">
        <f>174925+174925</f>
        <v>349850</v>
      </c>
      <c r="D307" s="20">
        <v>61738</v>
      </c>
      <c r="E307" s="75">
        <v>352044.74</v>
      </c>
      <c r="F307" s="76">
        <v>62125.58</v>
      </c>
      <c r="G307" s="369">
        <v>414170.32</v>
      </c>
      <c r="H307" s="322">
        <v>61852.95</v>
      </c>
      <c r="I307" s="323">
        <v>61852.95</v>
      </c>
      <c r="J307" s="323">
        <v>10915.23</v>
      </c>
      <c r="K307" s="324">
        <v>10915.23</v>
      </c>
      <c r="L307" s="1158">
        <f>SUM(H307:K311)</f>
        <v>393461.81000000006</v>
      </c>
      <c r="M307" s="1160">
        <f>L307/E308*100</f>
        <v>95.00000144867938</v>
      </c>
      <c r="N307" s="1160">
        <f>163543.675230698+58969+36304+9121*2</f>
        <v>277058.67523069796</v>
      </c>
      <c r="O307" s="1160">
        <f>N307/E307*100</f>
        <v>78.69984798826933</v>
      </c>
      <c r="P307" s="1160">
        <f>163483+29484+29485+18152*2+9121*2</f>
        <v>276998</v>
      </c>
      <c r="Q307" s="1083">
        <f>P307/E307*100</f>
        <v>78.68261289744025</v>
      </c>
      <c r="R307" s="779">
        <f>E307+F307</f>
        <v>414170.32</v>
      </c>
      <c r="S307" s="1154">
        <f>P307/E307*100</f>
        <v>78.68261289744025</v>
      </c>
      <c r="T307" s="1154">
        <f>N307/SUM(H307:I311)*100</f>
        <v>82.84194103988271</v>
      </c>
    </row>
    <row r="308" spans="1:20" ht="15" customHeight="1" thickBot="1">
      <c r="A308" s="1134"/>
      <c r="B308" s="1134"/>
      <c r="C308" s="1129">
        <f>SUM(C307:D307)</f>
        <v>411588</v>
      </c>
      <c r="D308" s="1021"/>
      <c r="E308" s="1129">
        <v>414170.32</v>
      </c>
      <c r="F308" s="1130"/>
      <c r="G308" s="1016">
        <v>414170.32</v>
      </c>
      <c r="H308" s="331">
        <v>4336.89</v>
      </c>
      <c r="I308" s="332">
        <v>4336.89</v>
      </c>
      <c r="J308" s="332">
        <v>765.33</v>
      </c>
      <c r="K308" s="333">
        <v>765.33</v>
      </c>
      <c r="L308" s="1159"/>
      <c r="M308" s="1161"/>
      <c r="N308" s="1161"/>
      <c r="O308" s="1161"/>
      <c r="P308" s="1161"/>
      <c r="Q308" s="1085"/>
      <c r="R308" s="779"/>
      <c r="S308" s="1155"/>
      <c r="T308" s="1155"/>
    </row>
    <row r="309" spans="1:20" ht="15" customHeight="1" thickBot="1">
      <c r="A309" s="1134"/>
      <c r="B309" s="1134"/>
      <c r="C309" s="1144"/>
      <c r="D309" s="1145"/>
      <c r="E309" s="1131"/>
      <c r="F309" s="1118"/>
      <c r="G309" s="1018"/>
      <c r="H309" s="331">
        <v>29812.9</v>
      </c>
      <c r="I309" s="332">
        <v>29812.9</v>
      </c>
      <c r="J309" s="332">
        <v>5261.1</v>
      </c>
      <c r="K309" s="333">
        <v>5261.1</v>
      </c>
      <c r="L309" s="1159"/>
      <c r="M309" s="1161"/>
      <c r="N309" s="1161"/>
      <c r="O309" s="1161"/>
      <c r="P309" s="1161"/>
      <c r="Q309" s="838"/>
      <c r="R309" s="779">
        <f>E308</f>
        <v>414170.32</v>
      </c>
      <c r="S309" s="1155"/>
      <c r="T309" s="1155"/>
    </row>
    <row r="310" spans="1:20" ht="15" customHeight="1">
      <c r="A310" s="1134"/>
      <c r="B310" s="1134"/>
      <c r="C310" s="1144"/>
      <c r="D310" s="1145"/>
      <c r="E310" s="1131"/>
      <c r="F310" s="1118"/>
      <c r="G310" s="379"/>
      <c r="H310" s="331">
        <v>56176.64</v>
      </c>
      <c r="I310" s="332">
        <v>56176.64</v>
      </c>
      <c r="J310" s="332">
        <v>9913.54</v>
      </c>
      <c r="K310" s="333">
        <v>9913.53</v>
      </c>
      <c r="L310" s="1159"/>
      <c r="M310" s="1161"/>
      <c r="N310" s="1161"/>
      <c r="O310" s="1161"/>
      <c r="P310" s="1161"/>
      <c r="Q310" s="838"/>
      <c r="R310" s="779"/>
      <c r="S310" s="1155"/>
      <c r="T310" s="1155"/>
    </row>
    <row r="311" spans="1:20" ht="15" customHeight="1" thickBot="1">
      <c r="A311" s="1128"/>
      <c r="B311" s="1128"/>
      <c r="C311" s="1146"/>
      <c r="D311" s="1147"/>
      <c r="E311" s="1146"/>
      <c r="F311" s="1147"/>
      <c r="G311" s="379"/>
      <c r="H311" s="325">
        <v>15041.88</v>
      </c>
      <c r="I311" s="326">
        <v>15041.88</v>
      </c>
      <c r="J311" s="326">
        <v>2654.45</v>
      </c>
      <c r="K311" s="327">
        <v>2654.45</v>
      </c>
      <c r="L311" s="1132"/>
      <c r="M311" s="1132"/>
      <c r="N311" s="1132"/>
      <c r="O311" s="1132"/>
      <c r="P311" s="1132"/>
      <c r="Q311" s="838"/>
      <c r="R311" s="779"/>
      <c r="S311" s="1132"/>
      <c r="T311" s="1132"/>
    </row>
    <row r="312" spans="1:20" ht="16.5" customHeight="1">
      <c r="A312" s="1133" t="s">
        <v>71</v>
      </c>
      <c r="B312" s="1133" t="s">
        <v>72</v>
      </c>
      <c r="C312" s="25">
        <f>159115+159114</f>
        <v>318229</v>
      </c>
      <c r="D312" s="20">
        <v>56158</v>
      </c>
      <c r="E312" s="61">
        <v>320172.7</v>
      </c>
      <c r="F312" s="80">
        <v>56501.02</v>
      </c>
      <c r="G312" s="348">
        <v>376673.72000000003</v>
      </c>
      <c r="H312" s="322">
        <v>14505.93</v>
      </c>
      <c r="I312" s="323">
        <v>14505.93</v>
      </c>
      <c r="J312" s="323">
        <v>2559.88</v>
      </c>
      <c r="K312" s="324">
        <v>2559.88</v>
      </c>
      <c r="L312" s="1158">
        <f>SUM(H312:K324)</f>
        <v>341183.7099999999</v>
      </c>
      <c r="M312" s="1160">
        <f>L312/E313*100</f>
        <v>90.57804988359683</v>
      </c>
      <c r="N312" s="1160">
        <f>252449.22+27399</f>
        <v>279848.22</v>
      </c>
      <c r="O312" s="1160">
        <f>N312/E312*100</f>
        <v>87.40539714972574</v>
      </c>
      <c r="P312" s="1160">
        <f>179553+36168+36167+13699+13700</f>
        <v>279287</v>
      </c>
      <c r="Q312" s="1083">
        <f>P312/E312*100</f>
        <v>87.23011049973967</v>
      </c>
      <c r="R312" s="840">
        <f>E312+F312</f>
        <v>376673.72000000003</v>
      </c>
      <c r="S312" s="1154">
        <f>P312/E312*100</f>
        <v>87.23011049973967</v>
      </c>
      <c r="T312" s="1154">
        <f>N312/SUM(H312:I324)*100</f>
        <v>96.49735643491637</v>
      </c>
    </row>
    <row r="313" spans="1:20" ht="16.5" customHeight="1">
      <c r="A313" s="1134"/>
      <c r="B313" s="1134"/>
      <c r="C313" s="1129">
        <f>SUM(C312:D312)</f>
        <v>374387</v>
      </c>
      <c r="D313" s="1130"/>
      <c r="E313" s="1129">
        <v>376673.72000000003</v>
      </c>
      <c r="F313" s="1130"/>
      <c r="G313" s="1091">
        <v>376673.72000000003</v>
      </c>
      <c r="H313" s="331">
        <v>29628.06</v>
      </c>
      <c r="I313" s="332">
        <v>29628.06</v>
      </c>
      <c r="J313" s="332">
        <v>5228.48</v>
      </c>
      <c r="K313" s="333">
        <v>5228.48</v>
      </c>
      <c r="L313" s="1159"/>
      <c r="M313" s="1161"/>
      <c r="N313" s="1161"/>
      <c r="O313" s="1161"/>
      <c r="P313" s="1161"/>
      <c r="Q313" s="1084"/>
      <c r="R313" s="839"/>
      <c r="S313" s="1155"/>
      <c r="T313" s="1155"/>
    </row>
    <row r="314" spans="1:20" ht="16.5" customHeight="1" thickBot="1">
      <c r="A314" s="1134"/>
      <c r="B314" s="1134"/>
      <c r="C314" s="1131"/>
      <c r="D314" s="1118"/>
      <c r="E314" s="1131"/>
      <c r="F314" s="1118"/>
      <c r="G314" s="1092"/>
      <c r="H314" s="331">
        <v>787.31</v>
      </c>
      <c r="I314" s="332">
        <v>787.31</v>
      </c>
      <c r="J314" s="332">
        <v>138.94</v>
      </c>
      <c r="K314" s="333">
        <v>138.94</v>
      </c>
      <c r="L314" s="1159"/>
      <c r="M314" s="1161"/>
      <c r="N314" s="1161"/>
      <c r="O314" s="1161"/>
      <c r="P314" s="1161"/>
      <c r="Q314" s="1085"/>
      <c r="R314" s="839"/>
      <c r="S314" s="1155"/>
      <c r="T314" s="1155"/>
    </row>
    <row r="315" spans="1:20" ht="16.5" customHeight="1">
      <c r="A315" s="1134"/>
      <c r="B315" s="1134"/>
      <c r="C315" s="1131"/>
      <c r="D315" s="1118"/>
      <c r="E315" s="1131"/>
      <c r="F315" s="1118"/>
      <c r="G315" s="1092"/>
      <c r="H315" s="331">
        <v>27253.81</v>
      </c>
      <c r="I315" s="332">
        <v>27253.81</v>
      </c>
      <c r="J315" s="332">
        <v>4809.51</v>
      </c>
      <c r="K315" s="333">
        <v>4809.5</v>
      </c>
      <c r="L315" s="1159"/>
      <c r="M315" s="1161"/>
      <c r="N315" s="1161"/>
      <c r="O315" s="1161"/>
      <c r="P315" s="1161"/>
      <c r="Q315" s="838"/>
      <c r="R315" s="839"/>
      <c r="S315" s="1155"/>
      <c r="T315" s="1155"/>
    </row>
    <row r="316" spans="1:20" ht="16.5" customHeight="1" thickBot="1">
      <c r="A316" s="1134"/>
      <c r="B316" s="1134"/>
      <c r="C316" s="1131"/>
      <c r="D316" s="1118"/>
      <c r="E316" s="1131"/>
      <c r="F316" s="1118"/>
      <c r="G316" s="1081"/>
      <c r="H316" s="331">
        <v>11870.92</v>
      </c>
      <c r="I316" s="332">
        <v>11870.92</v>
      </c>
      <c r="J316" s="332">
        <v>2094.87</v>
      </c>
      <c r="K316" s="333">
        <v>2094.86</v>
      </c>
      <c r="L316" s="1159"/>
      <c r="M316" s="1161"/>
      <c r="N316" s="1161"/>
      <c r="O316" s="1161"/>
      <c r="P316" s="1161"/>
      <c r="Q316" s="838"/>
      <c r="R316" s="839">
        <f>E313</f>
        <v>376673.72000000003</v>
      </c>
      <c r="S316" s="1155"/>
      <c r="T316" s="1155"/>
    </row>
    <row r="317" spans="1:20" ht="16.5" customHeight="1">
      <c r="A317" s="1134"/>
      <c r="B317" s="1134"/>
      <c r="C317" s="1131"/>
      <c r="D317" s="1118"/>
      <c r="E317" s="1131"/>
      <c r="F317" s="1118"/>
      <c r="G317" s="391"/>
      <c r="H317" s="331">
        <v>7236.25</v>
      </c>
      <c r="I317" s="332">
        <v>7236.25</v>
      </c>
      <c r="J317" s="332">
        <v>1276.99</v>
      </c>
      <c r="K317" s="333">
        <v>1276.98</v>
      </c>
      <c r="L317" s="1159"/>
      <c r="M317" s="1161"/>
      <c r="N317" s="1161"/>
      <c r="O317" s="1161"/>
      <c r="P317" s="1161"/>
      <c r="Q317" s="838"/>
      <c r="R317" s="839"/>
      <c r="S317" s="1155"/>
      <c r="T317" s="1155"/>
    </row>
    <row r="318" spans="1:20" ht="16.5" customHeight="1">
      <c r="A318" s="1134"/>
      <c r="B318" s="1134"/>
      <c r="C318" s="1131"/>
      <c r="D318" s="1118"/>
      <c r="E318" s="1131"/>
      <c r="F318" s="1118"/>
      <c r="G318" s="391"/>
      <c r="H318" s="331">
        <v>11074.97</v>
      </c>
      <c r="I318" s="332">
        <f>H318</f>
        <v>11074.97</v>
      </c>
      <c r="J318" s="332">
        <v>1954.41</v>
      </c>
      <c r="K318" s="333">
        <v>1954.41</v>
      </c>
      <c r="L318" s="1159"/>
      <c r="M318" s="1161"/>
      <c r="N318" s="1161"/>
      <c r="O318" s="1161"/>
      <c r="P318" s="1161"/>
      <c r="Q318" s="838"/>
      <c r="R318" s="839"/>
      <c r="S318" s="1155"/>
      <c r="T318" s="1155"/>
    </row>
    <row r="319" spans="1:20" ht="16.5" customHeight="1">
      <c r="A319" s="1134"/>
      <c r="B319" s="1134"/>
      <c r="C319" s="1131"/>
      <c r="D319" s="1118"/>
      <c r="E319" s="1131"/>
      <c r="F319" s="1118"/>
      <c r="G319" s="391"/>
      <c r="H319" s="331">
        <v>5750.72</v>
      </c>
      <c r="I319" s="332">
        <f>H319</f>
        <v>5750.72</v>
      </c>
      <c r="J319" s="332">
        <v>1014.83</v>
      </c>
      <c r="K319" s="333">
        <f>J319</f>
        <v>1014.83</v>
      </c>
      <c r="L319" s="1159"/>
      <c r="M319" s="1161"/>
      <c r="N319" s="1161"/>
      <c r="O319" s="1161"/>
      <c r="P319" s="1161"/>
      <c r="Q319" s="838"/>
      <c r="R319" s="839"/>
      <c r="S319" s="1155"/>
      <c r="T319" s="1155"/>
    </row>
    <row r="320" spans="1:20" ht="16.5" customHeight="1" thickBot="1">
      <c r="A320" s="1134"/>
      <c r="B320" s="1134"/>
      <c r="C320" s="1131"/>
      <c r="D320" s="1118"/>
      <c r="E320" s="1131"/>
      <c r="F320" s="1118"/>
      <c r="G320" s="400"/>
      <c r="H320" s="331">
        <v>13248.62</v>
      </c>
      <c r="I320" s="332">
        <v>13248.62</v>
      </c>
      <c r="J320" s="332">
        <v>2338</v>
      </c>
      <c r="K320" s="333">
        <v>2337.99</v>
      </c>
      <c r="L320" s="1159"/>
      <c r="M320" s="1161"/>
      <c r="N320" s="1161"/>
      <c r="O320" s="1161"/>
      <c r="P320" s="1161"/>
      <c r="Q320" s="842"/>
      <c r="R320" s="841"/>
      <c r="S320" s="1155"/>
      <c r="T320" s="1155"/>
    </row>
    <row r="321" spans="1:20" ht="16.5" customHeight="1">
      <c r="A321" s="1134"/>
      <c r="B321" s="1134"/>
      <c r="C321" s="1131"/>
      <c r="D321" s="1118"/>
      <c r="E321" s="1131"/>
      <c r="F321" s="1118"/>
      <c r="G321" s="391"/>
      <c r="H321" s="331">
        <v>4058.37</v>
      </c>
      <c r="I321" s="332">
        <v>4058.37</v>
      </c>
      <c r="J321" s="332">
        <v>716.18</v>
      </c>
      <c r="K321" s="333">
        <v>716.18</v>
      </c>
      <c r="L321" s="1159"/>
      <c r="M321" s="1161"/>
      <c r="N321" s="1161"/>
      <c r="O321" s="1161"/>
      <c r="P321" s="1161"/>
      <c r="Q321" s="838"/>
      <c r="R321" s="839"/>
      <c r="S321" s="1155"/>
      <c r="T321" s="1155"/>
    </row>
    <row r="322" spans="1:20" ht="16.5" customHeight="1">
      <c r="A322" s="1134"/>
      <c r="B322" s="1134"/>
      <c r="C322" s="1131"/>
      <c r="D322" s="1118"/>
      <c r="E322" s="1131"/>
      <c r="F322" s="1118"/>
      <c r="G322" s="391"/>
      <c r="H322" s="331">
        <v>4607.25</v>
      </c>
      <c r="I322" s="332">
        <v>4607.25</v>
      </c>
      <c r="J322" s="332">
        <v>813.05</v>
      </c>
      <c r="K322" s="333">
        <v>813.05</v>
      </c>
      <c r="L322" s="1159"/>
      <c r="M322" s="1161"/>
      <c r="N322" s="1161"/>
      <c r="O322" s="1161"/>
      <c r="P322" s="1161"/>
      <c r="Q322" s="838"/>
      <c r="R322" s="839"/>
      <c r="S322" s="1155"/>
      <c r="T322" s="1155"/>
    </row>
    <row r="323" spans="1:20" ht="16.5" customHeight="1">
      <c r="A323" s="1134"/>
      <c r="B323" s="1134"/>
      <c r="C323" s="1131"/>
      <c r="D323" s="1118"/>
      <c r="E323" s="1131"/>
      <c r="F323" s="1118"/>
      <c r="G323" s="391"/>
      <c r="H323" s="331">
        <v>5339.61</v>
      </c>
      <c r="I323" s="332">
        <v>5339.61</v>
      </c>
      <c r="J323" s="332">
        <v>942.29</v>
      </c>
      <c r="K323" s="333">
        <v>942.29</v>
      </c>
      <c r="L323" s="1159"/>
      <c r="M323" s="1161"/>
      <c r="N323" s="1161"/>
      <c r="O323" s="1161"/>
      <c r="P323" s="1161"/>
      <c r="Q323" s="838"/>
      <c r="R323" s="839"/>
      <c r="S323" s="1155"/>
      <c r="T323" s="1155"/>
    </row>
    <row r="324" spans="1:20" ht="16.5" customHeight="1" thickBot="1">
      <c r="A324" s="1090"/>
      <c r="B324" s="1090"/>
      <c r="C324" s="1102"/>
      <c r="D324" s="1103"/>
      <c r="E324" s="1102"/>
      <c r="F324" s="1103"/>
      <c r="G324" s="400"/>
      <c r="H324" s="346">
        <v>9641.23</v>
      </c>
      <c r="I324" s="350">
        <v>9641.23</v>
      </c>
      <c r="J324" s="350">
        <v>1701.4</v>
      </c>
      <c r="K324" s="351">
        <v>1701.39</v>
      </c>
      <c r="L324" s="1113"/>
      <c r="M324" s="1126"/>
      <c r="N324" s="1126"/>
      <c r="O324" s="1126"/>
      <c r="P324" s="1126"/>
      <c r="Q324" s="842"/>
      <c r="R324" s="841"/>
      <c r="S324" s="1108"/>
      <c r="T324" s="1108"/>
    </row>
    <row r="325" spans="1:20" ht="18.75" customHeight="1">
      <c r="A325" s="1133" t="s">
        <v>73</v>
      </c>
      <c r="B325" s="1133" t="s">
        <v>74</v>
      </c>
      <c r="C325" s="25">
        <f>334092*2</f>
        <v>668184</v>
      </c>
      <c r="D325" s="20">
        <v>117915</v>
      </c>
      <c r="E325" s="61">
        <v>672376.16</v>
      </c>
      <c r="F325" s="83">
        <v>118654.56</v>
      </c>
      <c r="G325" s="255">
        <v>791030.72</v>
      </c>
      <c r="H325" s="804">
        <v>131353.57</v>
      </c>
      <c r="I325" s="805">
        <v>131353.57</v>
      </c>
      <c r="J325" s="805">
        <v>23180.04</v>
      </c>
      <c r="K325" s="863">
        <v>23180.04</v>
      </c>
      <c r="L325" s="1158">
        <f>SUM(H325:K328)</f>
        <v>788087.95</v>
      </c>
      <c r="M325" s="1154">
        <f>L325/E326*100</f>
        <v>99.62798284243625</v>
      </c>
      <c r="N325" s="1077">
        <v>668184</v>
      </c>
      <c r="O325" s="1077">
        <f>N325/E325*100</f>
        <v>99.37651566944312</v>
      </c>
      <c r="P325" s="1077">
        <f>2816+311940+311939+1092*2+19652+19653</f>
        <v>668184</v>
      </c>
      <c r="Q325" s="1083">
        <f>P325/E325*100</f>
        <v>99.37651566944312</v>
      </c>
      <c r="R325" s="840">
        <f>E325+F325</f>
        <v>791030.72</v>
      </c>
      <c r="S325" s="1123">
        <f>P325/E325*100</f>
        <v>99.37651566944312</v>
      </c>
      <c r="T325" s="1123">
        <f>N325/SUM(H325:I328)*100</f>
        <v>99.74760355943563</v>
      </c>
    </row>
    <row r="326" spans="1:20" ht="18.75" customHeight="1">
      <c r="A326" s="1134"/>
      <c r="B326" s="1134"/>
      <c r="C326" s="1129">
        <f>SUM(C325:D325)</f>
        <v>786099</v>
      </c>
      <c r="D326" s="1130"/>
      <c r="E326" s="1129">
        <v>791030.72</v>
      </c>
      <c r="F326" s="1130"/>
      <c r="G326" s="1016">
        <v>791030.72</v>
      </c>
      <c r="H326" s="871">
        <v>161412.96</v>
      </c>
      <c r="I326" s="872">
        <v>161412.96</v>
      </c>
      <c r="J326" s="872">
        <v>28484.64</v>
      </c>
      <c r="K326" s="873">
        <v>28484.64</v>
      </c>
      <c r="L326" s="1159"/>
      <c r="M326" s="1155"/>
      <c r="N326" s="1075"/>
      <c r="O326" s="1075"/>
      <c r="P326" s="1075"/>
      <c r="Q326" s="1084"/>
      <c r="R326" s="839"/>
      <c r="S326" s="1124"/>
      <c r="T326" s="1124"/>
    </row>
    <row r="327" spans="1:20" ht="18.75" customHeight="1" thickBot="1">
      <c r="A327" s="1134"/>
      <c r="B327" s="1134"/>
      <c r="C327" s="1131"/>
      <c r="D327" s="1118"/>
      <c r="E327" s="1131"/>
      <c r="F327" s="1118"/>
      <c r="G327" s="1018"/>
      <c r="H327" s="331">
        <v>26612.11</v>
      </c>
      <c r="I327" s="332">
        <v>26612.11</v>
      </c>
      <c r="J327" s="332">
        <v>4696.27</v>
      </c>
      <c r="K327" s="333">
        <v>4696.26</v>
      </c>
      <c r="L327" s="1159"/>
      <c r="M327" s="1155"/>
      <c r="N327" s="1075"/>
      <c r="O327" s="1075"/>
      <c r="P327" s="1075"/>
      <c r="Q327" s="1084"/>
      <c r="R327" s="839">
        <f>E326</f>
        <v>791030.72</v>
      </c>
      <c r="S327" s="1124"/>
      <c r="T327" s="1124"/>
    </row>
    <row r="328" spans="1:20" ht="18.75" customHeight="1" thickBot="1">
      <c r="A328" s="1090"/>
      <c r="B328" s="1090"/>
      <c r="C328" s="1146"/>
      <c r="D328" s="1147"/>
      <c r="E328" s="1102"/>
      <c r="F328" s="1103"/>
      <c r="G328" s="395"/>
      <c r="H328" s="346">
        <v>15558.73</v>
      </c>
      <c r="I328" s="350">
        <v>15558.73</v>
      </c>
      <c r="J328" s="350">
        <v>2745.67</v>
      </c>
      <c r="K328" s="351">
        <v>2745.65</v>
      </c>
      <c r="L328" s="1113"/>
      <c r="M328" s="1108"/>
      <c r="N328" s="1076"/>
      <c r="O328" s="1076"/>
      <c r="P328" s="1076"/>
      <c r="Q328" s="842"/>
      <c r="R328" s="841"/>
      <c r="S328" s="1125"/>
      <c r="T328" s="1125"/>
    </row>
    <row r="329" spans="1:20" ht="18.75" customHeight="1">
      <c r="A329" s="1133" t="s">
        <v>217</v>
      </c>
      <c r="B329" s="1133" t="s">
        <v>218</v>
      </c>
      <c r="C329" s="310">
        <f>158006*2</f>
        <v>316012</v>
      </c>
      <c r="D329" s="415">
        <v>0</v>
      </c>
      <c r="E329" s="344">
        <v>316012</v>
      </c>
      <c r="F329" s="343">
        <v>0</v>
      </c>
      <c r="G329" s="527">
        <v>316012</v>
      </c>
      <c r="H329" s="342">
        <v>73295.05</v>
      </c>
      <c r="I329" s="336">
        <v>73295.05</v>
      </c>
      <c r="J329" s="336">
        <v>0</v>
      </c>
      <c r="K329" s="343">
        <v>0</v>
      </c>
      <c r="L329" s="1158">
        <f>SUM(H329:K332)</f>
        <v>315710.28</v>
      </c>
      <c r="M329" s="1154">
        <f>L329/E330*100</f>
        <v>99.90452261306534</v>
      </c>
      <c r="N329" s="1077">
        <v>315711</v>
      </c>
      <c r="O329" s="1077">
        <f>N329/E329*100</f>
        <v>99.90475045251446</v>
      </c>
      <c r="P329" s="964">
        <f>146590+27991*2+40431*2+287*2+15852+15851</f>
        <v>315711</v>
      </c>
      <c r="Q329" s="838"/>
      <c r="R329" s="779">
        <f>E329+F329</f>
        <v>316012</v>
      </c>
      <c r="S329" s="1114">
        <f>P329/E329*100</f>
        <v>99.90475045251446</v>
      </c>
      <c r="T329" s="1114">
        <f>N329/SUM(H329:I332)*100</f>
        <v>100.00022805719217</v>
      </c>
    </row>
    <row r="330" spans="1:20" ht="18.75" customHeight="1" thickBot="1">
      <c r="A330" s="1134"/>
      <c r="B330" s="1134"/>
      <c r="C330" s="990">
        <f>C329+D329</f>
        <v>316012</v>
      </c>
      <c r="D330" s="991"/>
      <c r="E330" s="1129">
        <v>316012</v>
      </c>
      <c r="F330" s="1130"/>
      <c r="G330" s="393">
        <v>316012</v>
      </c>
      <c r="H330" s="331">
        <v>27990.88</v>
      </c>
      <c r="I330" s="332">
        <v>27990.88</v>
      </c>
      <c r="J330" s="332">
        <v>0</v>
      </c>
      <c r="K330" s="333">
        <v>0</v>
      </c>
      <c r="L330" s="1159"/>
      <c r="M330" s="1155"/>
      <c r="N330" s="1075"/>
      <c r="O330" s="1075"/>
      <c r="P330" s="933"/>
      <c r="Q330" s="838"/>
      <c r="R330" s="779">
        <f>E330</f>
        <v>316012</v>
      </c>
      <c r="S330" s="1115"/>
      <c r="T330" s="1115"/>
    </row>
    <row r="331" spans="1:20" ht="18.75" customHeight="1">
      <c r="A331" s="1134"/>
      <c r="B331" s="1134"/>
      <c r="C331" s="992"/>
      <c r="D331" s="993"/>
      <c r="E331" s="1131"/>
      <c r="F331" s="1118"/>
      <c r="G331" s="379"/>
      <c r="H331" s="331">
        <v>41303.31</v>
      </c>
      <c r="I331" s="332">
        <f>H331</f>
        <v>41303.31</v>
      </c>
      <c r="J331" s="332">
        <v>0</v>
      </c>
      <c r="K331" s="333">
        <v>0</v>
      </c>
      <c r="L331" s="1159"/>
      <c r="M331" s="1155"/>
      <c r="N331" s="1075"/>
      <c r="O331" s="1075"/>
      <c r="P331" s="933"/>
      <c r="Q331" s="838"/>
      <c r="R331" s="779"/>
      <c r="S331" s="1115"/>
      <c r="T331" s="1115"/>
    </row>
    <row r="332" spans="1:20" ht="18.75" customHeight="1" thickBot="1">
      <c r="A332" s="1090"/>
      <c r="B332" s="1090"/>
      <c r="C332" s="982"/>
      <c r="D332" s="983"/>
      <c r="E332" s="1102"/>
      <c r="F332" s="1103"/>
      <c r="G332" s="379"/>
      <c r="H332" s="325">
        <v>15265.9</v>
      </c>
      <c r="I332" s="326">
        <v>15265.9</v>
      </c>
      <c r="J332" s="326">
        <v>0</v>
      </c>
      <c r="K332" s="327">
        <v>0</v>
      </c>
      <c r="L332" s="1113"/>
      <c r="M332" s="1108"/>
      <c r="N332" s="1076"/>
      <c r="O332" s="1076"/>
      <c r="P332" s="965"/>
      <c r="Q332" s="838"/>
      <c r="R332" s="779"/>
      <c r="S332" s="1116"/>
      <c r="T332" s="1116"/>
    </row>
    <row r="333" spans="1:20" ht="18.75" customHeight="1">
      <c r="A333" s="1133" t="s">
        <v>269</v>
      </c>
      <c r="B333" s="1133" t="s">
        <v>240</v>
      </c>
      <c r="C333" s="265">
        <f>165570+165569</f>
        <v>331139</v>
      </c>
      <c r="D333" s="267">
        <v>0</v>
      </c>
      <c r="E333" s="79">
        <v>331139</v>
      </c>
      <c r="F333" s="80">
        <v>0</v>
      </c>
      <c r="G333" s="348">
        <v>331139</v>
      </c>
      <c r="H333" s="322">
        <v>4808.63</v>
      </c>
      <c r="I333" s="323">
        <v>4806.34</v>
      </c>
      <c r="J333" s="323">
        <v>0</v>
      </c>
      <c r="K333" s="324">
        <v>0</v>
      </c>
      <c r="L333" s="1158">
        <f>SUM(H333:K334)</f>
        <v>331138.3</v>
      </c>
      <c r="M333" s="1154">
        <f>L333/E334*100</f>
        <v>99.99978860840916</v>
      </c>
      <c r="N333" s="1077">
        <f>9615+141103*2+39318</f>
        <v>331139</v>
      </c>
      <c r="O333" s="1077">
        <f>N333/E333*100</f>
        <v>100</v>
      </c>
      <c r="P333" s="1077">
        <v>331139</v>
      </c>
      <c r="Q333" s="838"/>
      <c r="R333" s="779">
        <f>E333</f>
        <v>331139</v>
      </c>
      <c r="S333" s="1123">
        <f>P333/E333*100</f>
        <v>100</v>
      </c>
      <c r="T333" s="1123">
        <f>N333/SUM(H333:I334)*100</f>
        <v>100.00021139203771</v>
      </c>
    </row>
    <row r="334" spans="1:20" ht="18.75" customHeight="1" thickBot="1">
      <c r="A334" s="1090"/>
      <c r="B334" s="1090"/>
      <c r="C334" s="1024">
        <f>C333</f>
        <v>331139</v>
      </c>
      <c r="D334" s="1025"/>
      <c r="E334" s="1022">
        <v>331139</v>
      </c>
      <c r="F334" s="1023"/>
      <c r="G334" s="395">
        <v>331139</v>
      </c>
      <c r="H334" s="346">
        <v>160761.02</v>
      </c>
      <c r="I334" s="350">
        <v>160762.31</v>
      </c>
      <c r="J334" s="350">
        <v>0</v>
      </c>
      <c r="K334" s="351">
        <v>0</v>
      </c>
      <c r="L334" s="1113"/>
      <c r="M334" s="1108"/>
      <c r="N334" s="1076"/>
      <c r="O334" s="1076"/>
      <c r="P334" s="1076"/>
      <c r="Q334" s="838"/>
      <c r="R334" s="779">
        <f>E334</f>
        <v>331139</v>
      </c>
      <c r="S334" s="1125"/>
      <c r="T334" s="1125"/>
    </row>
    <row r="335" spans="1:20" ht="18.75" customHeight="1">
      <c r="A335" s="1133" t="s">
        <v>267</v>
      </c>
      <c r="B335" s="1133" t="s">
        <v>238</v>
      </c>
      <c r="C335" s="265">
        <f>102526*2</f>
        <v>205052</v>
      </c>
      <c r="D335" s="267">
        <v>0</v>
      </c>
      <c r="E335" s="61">
        <v>205052</v>
      </c>
      <c r="F335" s="339">
        <v>0</v>
      </c>
      <c r="G335" s="348">
        <v>205052</v>
      </c>
      <c r="H335" s="322">
        <v>5009.41</v>
      </c>
      <c r="I335" s="323">
        <v>5009.4</v>
      </c>
      <c r="J335" s="323">
        <v>0</v>
      </c>
      <c r="K335" s="324">
        <v>0</v>
      </c>
      <c r="L335" s="1158">
        <f>SUM(H335:K338)</f>
        <v>53512.13</v>
      </c>
      <c r="M335" s="1154">
        <f>L335/E336*100</f>
        <v>26.09685835787995</v>
      </c>
      <c r="N335" s="1160">
        <f>35494+9009*2</f>
        <v>53512</v>
      </c>
      <c r="O335" s="1160">
        <f>N335/E335*100</f>
        <v>26.09679495932739</v>
      </c>
      <c r="P335" s="1160">
        <f>21152+7171*2+9009*2</f>
        <v>53512</v>
      </c>
      <c r="Q335" s="838"/>
      <c r="R335" s="779">
        <f>E335+F335</f>
        <v>205052</v>
      </c>
      <c r="S335" s="934">
        <f>P335/E335*100</f>
        <v>26.09679495932739</v>
      </c>
      <c r="T335" s="1154">
        <f>N335/SUM(H335:I338)*100</f>
        <v>99.99975706442633</v>
      </c>
    </row>
    <row r="336" spans="1:20" ht="18.75" customHeight="1" thickBot="1">
      <c r="A336" s="1134"/>
      <c r="B336" s="1134"/>
      <c r="C336" s="1119">
        <f>C335+D335</f>
        <v>205052</v>
      </c>
      <c r="D336" s="1120"/>
      <c r="E336" s="1129">
        <v>205052</v>
      </c>
      <c r="F336" s="1130"/>
      <c r="G336" s="400">
        <v>205052</v>
      </c>
      <c r="H336" s="331">
        <v>5566.55</v>
      </c>
      <c r="I336" s="332">
        <v>5566.55</v>
      </c>
      <c r="J336" s="332">
        <v>0</v>
      </c>
      <c r="K336" s="333">
        <v>0</v>
      </c>
      <c r="L336" s="1159"/>
      <c r="M336" s="1155"/>
      <c r="N336" s="1161"/>
      <c r="O336" s="1161"/>
      <c r="P336" s="1161"/>
      <c r="Q336" s="838"/>
      <c r="R336" s="779">
        <f>E336</f>
        <v>205052</v>
      </c>
      <c r="S336" s="812"/>
      <c r="T336" s="1155"/>
    </row>
    <row r="337" spans="1:20" ht="18.75" customHeight="1">
      <c r="A337" s="1134"/>
      <c r="B337" s="1134"/>
      <c r="C337" s="1121"/>
      <c r="D337" s="1122"/>
      <c r="E337" s="1131"/>
      <c r="F337" s="1118"/>
      <c r="G337" s="391"/>
      <c r="H337" s="331">
        <v>7170.98</v>
      </c>
      <c r="I337" s="332">
        <v>7170.97</v>
      </c>
      <c r="J337" s="332">
        <v>0</v>
      </c>
      <c r="K337" s="333">
        <v>0</v>
      </c>
      <c r="L337" s="1159"/>
      <c r="M337" s="1155"/>
      <c r="N337" s="1161"/>
      <c r="O337" s="1161"/>
      <c r="P337" s="1161"/>
      <c r="Q337" s="838"/>
      <c r="R337" s="779"/>
      <c r="S337" s="812"/>
      <c r="T337" s="1155"/>
    </row>
    <row r="338" spans="1:20" ht="18.75" customHeight="1" thickBot="1">
      <c r="A338" s="1128"/>
      <c r="B338" s="1128"/>
      <c r="C338" s="1146"/>
      <c r="D338" s="1147"/>
      <c r="E338" s="1146"/>
      <c r="F338" s="1147"/>
      <c r="G338" s="391"/>
      <c r="H338" s="325">
        <v>9009.14</v>
      </c>
      <c r="I338" s="326">
        <v>9009.13</v>
      </c>
      <c r="J338" s="326">
        <v>0</v>
      </c>
      <c r="K338" s="327">
        <v>0</v>
      </c>
      <c r="L338" s="1132"/>
      <c r="M338" s="1132"/>
      <c r="N338" s="1132"/>
      <c r="O338" s="1132"/>
      <c r="P338" s="1132"/>
      <c r="Q338" s="838"/>
      <c r="R338" s="779"/>
      <c r="S338" s="932"/>
      <c r="T338" s="1132"/>
    </row>
    <row r="339" spans="1:20" ht="18.75" customHeight="1">
      <c r="A339" s="1133" t="s">
        <v>264</v>
      </c>
      <c r="B339" s="1133" t="s">
        <v>233</v>
      </c>
      <c r="C339" s="310">
        <f>116958*2</f>
        <v>233916</v>
      </c>
      <c r="D339" s="415">
        <v>0</v>
      </c>
      <c r="E339" s="61">
        <v>233916</v>
      </c>
      <c r="F339" s="316">
        <v>0</v>
      </c>
      <c r="G339" s="348">
        <v>233916</v>
      </c>
      <c r="H339" s="322">
        <v>56694.43</v>
      </c>
      <c r="I339" s="323">
        <v>56694.43</v>
      </c>
      <c r="J339" s="323">
        <v>0</v>
      </c>
      <c r="K339" s="324">
        <v>0</v>
      </c>
      <c r="L339" s="961">
        <f>SUM(H339:K340)</f>
        <v>233916</v>
      </c>
      <c r="M339" s="1154">
        <f>L339/E340*100</f>
        <v>100</v>
      </c>
      <c r="N339" s="1160">
        <f>113389+90445+30082</f>
        <v>233916</v>
      </c>
      <c r="O339" s="1160">
        <f>N339/E339*100</f>
        <v>100</v>
      </c>
      <c r="P339" s="1160">
        <f>56695+56694+45222+45223+15041*2</f>
        <v>233916</v>
      </c>
      <c r="Q339" s="838"/>
      <c r="R339" s="779">
        <f>E339+F339</f>
        <v>233916</v>
      </c>
      <c r="S339" s="1123">
        <f>P339/E339*100</f>
        <v>100</v>
      </c>
      <c r="T339" s="1123">
        <f>N339/SUM(H339:I340)*100</f>
        <v>100</v>
      </c>
    </row>
    <row r="340" spans="1:20" ht="18.75" customHeight="1" thickBot="1">
      <c r="A340" s="1090"/>
      <c r="B340" s="1090"/>
      <c r="C340" s="1024">
        <f>C339+D339</f>
        <v>233916</v>
      </c>
      <c r="D340" s="1025"/>
      <c r="E340" s="1022">
        <v>233916</v>
      </c>
      <c r="F340" s="814"/>
      <c r="G340" s="391">
        <v>233916</v>
      </c>
      <c r="H340" s="325">
        <v>60263.57</v>
      </c>
      <c r="I340" s="326">
        <v>60263.57</v>
      </c>
      <c r="J340" s="326">
        <v>0</v>
      </c>
      <c r="K340" s="327">
        <v>0</v>
      </c>
      <c r="L340" s="962"/>
      <c r="M340" s="1108"/>
      <c r="N340" s="1126"/>
      <c r="O340" s="1126"/>
      <c r="P340" s="1126"/>
      <c r="Q340" s="838"/>
      <c r="R340" s="779">
        <f>E340</f>
        <v>233916</v>
      </c>
      <c r="S340" s="1125"/>
      <c r="T340" s="1125"/>
    </row>
    <row r="341" spans="1:20" ht="18.75" customHeight="1">
      <c r="A341" s="1133" t="s">
        <v>214</v>
      </c>
      <c r="B341" s="1133" t="s">
        <v>213</v>
      </c>
      <c r="C341" s="310">
        <f>288484+288483</f>
        <v>576967</v>
      </c>
      <c r="D341" s="415">
        <v>0</v>
      </c>
      <c r="E341" s="79">
        <v>576967</v>
      </c>
      <c r="F341" s="80">
        <v>0</v>
      </c>
      <c r="G341" s="348">
        <v>576967</v>
      </c>
      <c r="H341" s="322">
        <v>10209.35</v>
      </c>
      <c r="I341" s="323">
        <v>10205.2</v>
      </c>
      <c r="J341" s="323">
        <v>0</v>
      </c>
      <c r="K341" s="324">
        <v>0</v>
      </c>
      <c r="L341" s="1158">
        <f>SUM(H341:K344)</f>
        <v>541529.97</v>
      </c>
      <c r="M341" s="1154">
        <f>L341/E342*100</f>
        <v>93.85804907386384</v>
      </c>
      <c r="N341" s="1160">
        <f>482932+58599</f>
        <v>541531</v>
      </c>
      <c r="O341" s="1160">
        <f>N341/E341*100</f>
        <v>93.85822759360587</v>
      </c>
      <c r="P341" s="1160">
        <f>482932+29299+29300</f>
        <v>541531</v>
      </c>
      <c r="Q341" s="838"/>
      <c r="R341" s="779">
        <f>E341+F341</f>
        <v>576967</v>
      </c>
      <c r="S341" s="1154">
        <f>P341/E341*100</f>
        <v>93.85822759360587</v>
      </c>
      <c r="T341" s="1154">
        <f>N341/SUM(H341:I344)*100</f>
        <v>100.00019020184607</v>
      </c>
    </row>
    <row r="342" spans="1:20" ht="18.75" customHeight="1">
      <c r="A342" s="1134"/>
      <c r="B342" s="1134"/>
      <c r="C342" s="1119">
        <f>C341+D341</f>
        <v>576967</v>
      </c>
      <c r="D342" s="1120"/>
      <c r="E342" s="1129">
        <v>576967</v>
      </c>
      <c r="F342" s="1109"/>
      <c r="G342" s="379">
        <v>576967</v>
      </c>
      <c r="H342" s="331">
        <v>161663.52</v>
      </c>
      <c r="I342" s="332">
        <v>161597.86</v>
      </c>
      <c r="J342" s="332">
        <v>0</v>
      </c>
      <c r="K342" s="333">
        <v>0</v>
      </c>
      <c r="L342" s="1159"/>
      <c r="M342" s="1155"/>
      <c r="N342" s="1161"/>
      <c r="O342" s="1161"/>
      <c r="P342" s="1161"/>
      <c r="Q342" s="838"/>
      <c r="R342" s="779">
        <f>E342</f>
        <v>576967</v>
      </c>
      <c r="S342" s="1155"/>
      <c r="T342" s="1155"/>
    </row>
    <row r="343" spans="1:20" ht="18.75" customHeight="1">
      <c r="A343" s="1134"/>
      <c r="B343" s="1134"/>
      <c r="C343" s="1121"/>
      <c r="D343" s="1122"/>
      <c r="E343" s="1131"/>
      <c r="F343" s="1110"/>
      <c r="G343" s="379"/>
      <c r="H343" s="331">
        <v>43060.27</v>
      </c>
      <c r="I343" s="332">
        <v>43042.77</v>
      </c>
      <c r="J343" s="332">
        <v>0</v>
      </c>
      <c r="K343" s="333">
        <v>0</v>
      </c>
      <c r="L343" s="1159"/>
      <c r="M343" s="1155"/>
      <c r="N343" s="1161"/>
      <c r="O343" s="1161"/>
      <c r="P343" s="1161"/>
      <c r="Q343" s="838"/>
      <c r="R343" s="779"/>
      <c r="S343" s="1155"/>
      <c r="T343" s="1155"/>
    </row>
    <row r="344" spans="1:20" ht="18.75" customHeight="1" thickBot="1">
      <c r="A344" s="1128"/>
      <c r="B344" s="1128"/>
      <c r="C344" s="1146"/>
      <c r="D344" s="1147"/>
      <c r="E344" s="1146"/>
      <c r="F344" s="1107"/>
      <c r="G344" s="379"/>
      <c r="H344" s="325">
        <v>55886.85</v>
      </c>
      <c r="I344" s="326">
        <v>55864.15</v>
      </c>
      <c r="J344" s="326">
        <v>0</v>
      </c>
      <c r="K344" s="327">
        <v>0</v>
      </c>
      <c r="L344" s="1132"/>
      <c r="M344" s="1132"/>
      <c r="N344" s="1132"/>
      <c r="O344" s="1132"/>
      <c r="P344" s="1132"/>
      <c r="Q344" s="838"/>
      <c r="R344" s="779"/>
      <c r="S344" s="1132"/>
      <c r="T344" s="1132"/>
    </row>
    <row r="345" spans="1:20" ht="18.75" customHeight="1">
      <c r="A345" s="1133" t="s">
        <v>150</v>
      </c>
      <c r="B345" s="1133" t="s">
        <v>151</v>
      </c>
      <c r="C345" s="416">
        <v>341346</v>
      </c>
      <c r="D345" s="290">
        <v>60238</v>
      </c>
      <c r="E345" s="261">
        <v>341346</v>
      </c>
      <c r="F345" s="193">
        <v>60238</v>
      </c>
      <c r="G345" s="358">
        <v>401584</v>
      </c>
      <c r="H345" s="318">
        <v>0</v>
      </c>
      <c r="I345" s="319">
        <v>136538.05</v>
      </c>
      <c r="J345" s="319">
        <v>0</v>
      </c>
      <c r="K345" s="320">
        <v>24094.95</v>
      </c>
      <c r="L345" s="1158">
        <f>SUM(H345:K348)</f>
        <v>336195.08</v>
      </c>
      <c r="M345" s="1154">
        <f>L345/E346*100</f>
        <v>83.71724969122276</v>
      </c>
      <c r="N345" s="1077">
        <f>69739+35334+88128</f>
        <v>193201</v>
      </c>
      <c r="O345" s="964">
        <f>N345/E345*100</f>
        <v>56.599755087213566</v>
      </c>
      <c r="P345" s="1077">
        <v>193201</v>
      </c>
      <c r="Q345" s="1083">
        <f>P345/E345*100</f>
        <v>56.599755087213566</v>
      </c>
      <c r="R345" s="779">
        <f>E345+F345</f>
        <v>401584</v>
      </c>
      <c r="S345" s="1114">
        <f>P345/E345*100</f>
        <v>56.599755087213566</v>
      </c>
      <c r="T345" s="1114">
        <f>N345/SUM(H345:I348)*100</f>
        <v>67.6081555169894</v>
      </c>
    </row>
    <row r="346" spans="1:20" ht="25.5" customHeight="1" thickBot="1">
      <c r="A346" s="1134"/>
      <c r="B346" s="1134"/>
      <c r="C346" s="1148">
        <f>C345+D345</f>
        <v>401584</v>
      </c>
      <c r="D346" s="955"/>
      <c r="E346" s="1148">
        <v>401584</v>
      </c>
      <c r="F346" s="1149"/>
      <c r="G346" s="357">
        <v>401584</v>
      </c>
      <c r="H346" s="328">
        <v>0</v>
      </c>
      <c r="I346" s="329">
        <v>69068.57</v>
      </c>
      <c r="J346" s="329">
        <v>0</v>
      </c>
      <c r="K346" s="330">
        <v>12188.57</v>
      </c>
      <c r="L346" s="1159"/>
      <c r="M346" s="1155"/>
      <c r="N346" s="1075"/>
      <c r="O346" s="933"/>
      <c r="P346" s="1075"/>
      <c r="Q346" s="1085"/>
      <c r="R346" s="779">
        <f>E346</f>
        <v>401584</v>
      </c>
      <c r="S346" s="1115"/>
      <c r="T346" s="1115"/>
    </row>
    <row r="347" spans="1:20" ht="25.5" customHeight="1">
      <c r="A347" s="1134"/>
      <c r="B347" s="1134"/>
      <c r="C347" s="1150"/>
      <c r="D347" s="1053"/>
      <c r="E347" s="1150"/>
      <c r="F347" s="1151"/>
      <c r="G347" s="587"/>
      <c r="H347" s="328">
        <v>0</v>
      </c>
      <c r="I347" s="329">
        <v>33065.08</v>
      </c>
      <c r="J347" s="329">
        <v>0</v>
      </c>
      <c r="K347" s="330">
        <v>5835.01</v>
      </c>
      <c r="L347" s="1159"/>
      <c r="M347" s="1155"/>
      <c r="N347" s="1075"/>
      <c r="O347" s="933"/>
      <c r="P347" s="1075"/>
      <c r="Q347" s="838"/>
      <c r="R347" s="779"/>
      <c r="S347" s="1115"/>
      <c r="T347" s="1115"/>
    </row>
    <row r="348" spans="1:20" ht="25.5" customHeight="1" thickBot="1">
      <c r="A348" s="1090"/>
      <c r="B348" s="1090"/>
      <c r="C348" s="1152"/>
      <c r="D348" s="899"/>
      <c r="E348" s="1152"/>
      <c r="F348" s="1153"/>
      <c r="G348" s="587"/>
      <c r="H348" s="710">
        <v>0</v>
      </c>
      <c r="I348" s="711">
        <v>47094.12</v>
      </c>
      <c r="J348" s="711">
        <v>0</v>
      </c>
      <c r="K348" s="712">
        <v>8310.73</v>
      </c>
      <c r="L348" s="1113"/>
      <c r="M348" s="1108"/>
      <c r="N348" s="1076"/>
      <c r="O348" s="965"/>
      <c r="P348" s="1076"/>
      <c r="Q348" s="838"/>
      <c r="R348" s="779"/>
      <c r="S348" s="1116"/>
      <c r="T348" s="1116"/>
    </row>
    <row r="349" spans="1:20" ht="24" customHeight="1">
      <c r="A349" s="1133" t="s">
        <v>216</v>
      </c>
      <c r="B349" s="1133" t="s">
        <v>215</v>
      </c>
      <c r="C349" s="265">
        <f>314391+314390</f>
        <v>628781</v>
      </c>
      <c r="D349" s="267">
        <f>55480.5*2</f>
        <v>110961</v>
      </c>
      <c r="E349" s="270">
        <v>628781</v>
      </c>
      <c r="F349" s="193">
        <v>110961</v>
      </c>
      <c r="G349" s="370">
        <v>739742</v>
      </c>
      <c r="H349" s="318">
        <v>9945</v>
      </c>
      <c r="I349" s="319">
        <v>9945</v>
      </c>
      <c r="J349" s="319">
        <v>1755</v>
      </c>
      <c r="K349" s="320">
        <v>1755</v>
      </c>
      <c r="L349" s="1158">
        <f>SUM(H349:K356)</f>
        <v>736492.5900000002</v>
      </c>
      <c r="M349" s="1154">
        <f>L349/E350*100</f>
        <v>99.56073739222596</v>
      </c>
      <c r="N349" s="1160">
        <f>19890+225216+343925+18493+18494</f>
        <v>626018</v>
      </c>
      <c r="O349" s="1160">
        <f>N349/E349*100</f>
        <v>99.56057832536288</v>
      </c>
      <c r="P349" s="1160">
        <f>9945*2+112608+112608+171962+171963</f>
        <v>589031</v>
      </c>
      <c r="Q349" s="838"/>
      <c r="R349" s="779">
        <f>E349+F349</f>
        <v>739742</v>
      </c>
      <c r="S349" s="1154">
        <f>P349/E349*100</f>
        <v>93.67824409452575</v>
      </c>
      <c r="T349" s="1154">
        <f>N349/SUM(H349:I356)*100</f>
        <v>99.99984185783244</v>
      </c>
    </row>
    <row r="350" spans="1:20" ht="25.5" customHeight="1">
      <c r="A350" s="1134"/>
      <c r="B350" s="1134"/>
      <c r="C350" s="1119">
        <f>C349+D349</f>
        <v>739742</v>
      </c>
      <c r="D350" s="1120"/>
      <c r="E350" s="1135">
        <v>739742</v>
      </c>
      <c r="F350" s="1136"/>
      <c r="G350" s="382">
        <v>739742</v>
      </c>
      <c r="H350" s="328">
        <v>38003.57</v>
      </c>
      <c r="I350" s="329">
        <v>38003.57</v>
      </c>
      <c r="J350" s="329">
        <v>6706.52</v>
      </c>
      <c r="K350" s="330">
        <v>6706.51</v>
      </c>
      <c r="L350" s="1159"/>
      <c r="M350" s="1155"/>
      <c r="N350" s="1161"/>
      <c r="O350" s="1161"/>
      <c r="P350" s="1161"/>
      <c r="Q350" s="838"/>
      <c r="R350" s="779">
        <f>E350</f>
        <v>739742</v>
      </c>
      <c r="S350" s="1155"/>
      <c r="T350" s="1155"/>
    </row>
    <row r="351" spans="1:20" ht="25.5" customHeight="1">
      <c r="A351" s="1134"/>
      <c r="B351" s="1134"/>
      <c r="C351" s="1121"/>
      <c r="D351" s="1122"/>
      <c r="E351" s="1137"/>
      <c r="F351" s="1138"/>
      <c r="G351" s="382"/>
      <c r="H351" s="328">
        <v>73512.28</v>
      </c>
      <c r="I351" s="329">
        <f>H351</f>
        <v>73512.28</v>
      </c>
      <c r="J351" s="329">
        <v>12972.76</v>
      </c>
      <c r="K351" s="330">
        <v>12972.75</v>
      </c>
      <c r="L351" s="1159"/>
      <c r="M351" s="1155"/>
      <c r="N351" s="1161"/>
      <c r="O351" s="1161"/>
      <c r="P351" s="1161"/>
      <c r="Q351" s="838"/>
      <c r="R351" s="779"/>
      <c r="S351" s="1155"/>
      <c r="T351" s="1155"/>
    </row>
    <row r="352" spans="1:20" ht="23.25" customHeight="1">
      <c r="A352" s="1134"/>
      <c r="B352" s="1134"/>
      <c r="C352" s="1121"/>
      <c r="D352" s="1122"/>
      <c r="E352" s="1137"/>
      <c r="F352" s="1138"/>
      <c r="G352" s="382"/>
      <c r="H352" s="328">
        <v>72736.04</v>
      </c>
      <c r="I352" s="329">
        <v>72736.04</v>
      </c>
      <c r="J352" s="329">
        <v>12835.77</v>
      </c>
      <c r="K352" s="330">
        <v>12835.77</v>
      </c>
      <c r="L352" s="1159"/>
      <c r="M352" s="1155"/>
      <c r="N352" s="1161"/>
      <c r="O352" s="1161"/>
      <c r="P352" s="1161"/>
      <c r="Q352" s="838"/>
      <c r="R352" s="779"/>
      <c r="S352" s="1155"/>
      <c r="T352" s="1155"/>
    </row>
    <row r="353" spans="1:20" ht="23.25" customHeight="1">
      <c r="A353" s="1134"/>
      <c r="B353" s="1134"/>
      <c r="C353" s="1121"/>
      <c r="D353" s="1122"/>
      <c r="E353" s="1137"/>
      <c r="F353" s="1138"/>
      <c r="G353" s="382"/>
      <c r="H353" s="710">
        <v>65400.77</v>
      </c>
      <c r="I353" s="711">
        <v>65400.77</v>
      </c>
      <c r="J353" s="711">
        <v>11541.31</v>
      </c>
      <c r="K353" s="712">
        <v>11541.31</v>
      </c>
      <c r="L353" s="1159"/>
      <c r="M353" s="1155"/>
      <c r="N353" s="1161"/>
      <c r="O353" s="1161"/>
      <c r="P353" s="1161"/>
      <c r="Q353" s="838"/>
      <c r="R353" s="779"/>
      <c r="S353" s="1155"/>
      <c r="T353" s="1155"/>
    </row>
    <row r="354" spans="1:20" ht="23.25" customHeight="1">
      <c r="A354" s="1134"/>
      <c r="B354" s="1134"/>
      <c r="C354" s="1121"/>
      <c r="D354" s="1122"/>
      <c r="E354" s="1137"/>
      <c r="F354" s="1138"/>
      <c r="G354" s="382"/>
      <c r="H354" s="328">
        <v>1092.42</v>
      </c>
      <c r="I354" s="329">
        <v>1092.42</v>
      </c>
      <c r="J354" s="329">
        <v>192.78</v>
      </c>
      <c r="K354" s="330">
        <v>192.78</v>
      </c>
      <c r="L354" s="1159"/>
      <c r="M354" s="1155"/>
      <c r="N354" s="1161"/>
      <c r="O354" s="1161"/>
      <c r="P354" s="1161"/>
      <c r="Q354" s="838"/>
      <c r="R354" s="779"/>
      <c r="S354" s="1155"/>
      <c r="T354" s="1155"/>
    </row>
    <row r="355" spans="1:20" ht="23.25" customHeight="1">
      <c r="A355" s="1134"/>
      <c r="B355" s="1134"/>
      <c r="C355" s="1121"/>
      <c r="D355" s="1122"/>
      <c r="E355" s="1137"/>
      <c r="F355" s="1138"/>
      <c r="G355" s="382"/>
      <c r="H355" s="328">
        <v>37981.37</v>
      </c>
      <c r="I355" s="329">
        <v>37980.42</v>
      </c>
      <c r="J355" s="329">
        <v>6702.34</v>
      </c>
      <c r="K355" s="330">
        <v>6702.36</v>
      </c>
      <c r="L355" s="1159"/>
      <c r="M355" s="1155"/>
      <c r="N355" s="1161"/>
      <c r="O355" s="1161"/>
      <c r="P355" s="1161"/>
      <c r="Q355" s="838"/>
      <c r="R355" s="779"/>
      <c r="S355" s="1155"/>
      <c r="T355" s="1155"/>
    </row>
    <row r="356" spans="1:20" ht="23.25" customHeight="1" thickBot="1">
      <c r="A356" s="1128"/>
      <c r="B356" s="1128"/>
      <c r="C356" s="905"/>
      <c r="D356" s="906"/>
      <c r="E356" s="1139"/>
      <c r="F356" s="1140"/>
      <c r="G356" s="382"/>
      <c r="H356" s="875">
        <v>14338.52</v>
      </c>
      <c r="I356" s="876">
        <v>14338.52</v>
      </c>
      <c r="J356" s="876">
        <v>2530.32</v>
      </c>
      <c r="K356" s="877">
        <v>2530.32</v>
      </c>
      <c r="L356" s="1157"/>
      <c r="M356" s="1157"/>
      <c r="N356" s="1132"/>
      <c r="O356" s="1157"/>
      <c r="P356" s="1157"/>
      <c r="Q356" s="838"/>
      <c r="R356" s="779"/>
      <c r="S356" s="1157"/>
      <c r="T356" s="1157"/>
    </row>
    <row r="357" spans="1:20" ht="24.75" customHeight="1">
      <c r="A357" s="1133" t="s">
        <v>172</v>
      </c>
      <c r="B357" s="1133" t="s">
        <v>167</v>
      </c>
      <c r="C357" s="272">
        <f>(126438+126437)</f>
        <v>252875</v>
      </c>
      <c r="D357" s="271">
        <f>(22312.5+22312.5)</f>
        <v>44625</v>
      </c>
      <c r="E357" s="192">
        <v>252875</v>
      </c>
      <c r="F357" s="271">
        <v>44625</v>
      </c>
      <c r="G357" s="370">
        <v>297500</v>
      </c>
      <c r="H357" s="878">
        <v>30715.6</v>
      </c>
      <c r="I357" s="879">
        <v>30715.6</v>
      </c>
      <c r="J357" s="879">
        <v>5420.4</v>
      </c>
      <c r="K357" s="880">
        <v>5420.4</v>
      </c>
      <c r="L357" s="1158">
        <f>SUM(H357:K362)</f>
        <v>263880.4000000001</v>
      </c>
      <c r="M357" s="1154">
        <f>L357/E358*100</f>
        <v>88.69929411764709</v>
      </c>
      <c r="N357" s="1160">
        <f>7537+5785+7649*2+16653+16654</f>
        <v>61927</v>
      </c>
      <c r="O357" s="1160">
        <f>N357/E357*100</f>
        <v>24.489174493326743</v>
      </c>
      <c r="P357" s="1160">
        <f>13322+7649*2+16653+16654</f>
        <v>61927</v>
      </c>
      <c r="Q357" s="1083">
        <f>P357/E357*100</f>
        <v>24.489174493326743</v>
      </c>
      <c r="R357" s="779">
        <f>E357+F357</f>
        <v>297500</v>
      </c>
      <c r="S357" s="1154">
        <f>P357/E357*100</f>
        <v>24.489174493326743</v>
      </c>
      <c r="T357" s="1154">
        <f>N357/SUM(H357:I362)*100</f>
        <v>27.609212587949834</v>
      </c>
    </row>
    <row r="358" spans="1:20" ht="22.5" customHeight="1" thickBot="1">
      <c r="A358" s="1134"/>
      <c r="B358" s="1134"/>
      <c r="C358" s="1135">
        <f>C357+D357</f>
        <v>297500</v>
      </c>
      <c r="D358" s="1136"/>
      <c r="E358" s="1135">
        <v>297500</v>
      </c>
      <c r="F358" s="1136"/>
      <c r="G358" s="388">
        <v>297500</v>
      </c>
      <c r="H358" s="328">
        <v>19126.43</v>
      </c>
      <c r="I358" s="329">
        <v>19126.43</v>
      </c>
      <c r="J358" s="329">
        <v>3375.25</v>
      </c>
      <c r="K358" s="330">
        <v>3375.25</v>
      </c>
      <c r="L358" s="1156"/>
      <c r="M358" s="1155"/>
      <c r="N358" s="1156"/>
      <c r="O358" s="1161"/>
      <c r="P358" s="1156"/>
      <c r="Q358" s="1085"/>
      <c r="R358" s="779">
        <f>E358</f>
        <v>297500</v>
      </c>
      <c r="S358" s="1155"/>
      <c r="T358" s="1155"/>
    </row>
    <row r="359" spans="1:20" ht="22.5" customHeight="1">
      <c r="A359" s="1067"/>
      <c r="B359" s="1067"/>
      <c r="C359" s="1144"/>
      <c r="D359" s="1145"/>
      <c r="E359" s="1137"/>
      <c r="F359" s="1138"/>
      <c r="G359" s="382"/>
      <c r="H359" s="328">
        <v>7077.01</v>
      </c>
      <c r="I359" s="329">
        <v>7077.01</v>
      </c>
      <c r="J359" s="329">
        <v>1248.89</v>
      </c>
      <c r="K359" s="330">
        <v>1248.88</v>
      </c>
      <c r="L359" s="1156"/>
      <c r="M359" s="1156"/>
      <c r="N359" s="1156"/>
      <c r="O359" s="1156"/>
      <c r="P359" s="1156"/>
      <c r="Q359" s="838"/>
      <c r="R359" s="779"/>
      <c r="S359" s="1156"/>
      <c r="T359" s="1156"/>
    </row>
    <row r="360" spans="1:20" ht="22.5" customHeight="1">
      <c r="A360" s="1067"/>
      <c r="B360" s="1067"/>
      <c r="C360" s="1144"/>
      <c r="D360" s="1145"/>
      <c r="E360" s="1137"/>
      <c r="F360" s="1138"/>
      <c r="G360" s="382"/>
      <c r="H360" s="328">
        <v>7966.45</v>
      </c>
      <c r="I360" s="329">
        <v>7966.45</v>
      </c>
      <c r="J360" s="329">
        <v>1405.85</v>
      </c>
      <c r="K360" s="330">
        <v>1405.85</v>
      </c>
      <c r="L360" s="1156"/>
      <c r="M360" s="1156"/>
      <c r="N360" s="1156"/>
      <c r="O360" s="1156"/>
      <c r="P360" s="1156"/>
      <c r="Q360" s="838"/>
      <c r="R360" s="779"/>
      <c r="S360" s="1156"/>
      <c r="T360" s="1156"/>
    </row>
    <row r="361" spans="1:20" ht="22.5" customHeight="1">
      <c r="A361" s="1067"/>
      <c r="B361" s="1067"/>
      <c r="C361" s="1144"/>
      <c r="D361" s="1145"/>
      <c r="E361" s="1137"/>
      <c r="F361" s="1138"/>
      <c r="G361" s="382"/>
      <c r="H361" s="328">
        <v>30610.72</v>
      </c>
      <c r="I361" s="329">
        <v>30610.72</v>
      </c>
      <c r="J361" s="329">
        <v>5401.9</v>
      </c>
      <c r="K361" s="330">
        <v>5401.89</v>
      </c>
      <c r="L361" s="1127"/>
      <c r="M361" s="1127"/>
      <c r="N361" s="1156"/>
      <c r="O361" s="1127"/>
      <c r="P361" s="1127"/>
      <c r="Q361" s="838"/>
      <c r="R361" s="779"/>
      <c r="S361" s="1127"/>
      <c r="T361" s="1127"/>
    </row>
    <row r="362" spans="1:20" ht="22.5" customHeight="1" thickBot="1">
      <c r="A362" s="1128"/>
      <c r="B362" s="1128"/>
      <c r="C362" s="1146"/>
      <c r="D362" s="1147"/>
      <c r="E362" s="1139"/>
      <c r="F362" s="1140"/>
      <c r="G362" s="382"/>
      <c r="H362" s="710">
        <v>16652.95</v>
      </c>
      <c r="I362" s="711">
        <v>16652.95</v>
      </c>
      <c r="J362" s="711">
        <v>2938.76</v>
      </c>
      <c r="K362" s="712">
        <v>2938.76</v>
      </c>
      <c r="L362" s="1157"/>
      <c r="M362" s="1157"/>
      <c r="N362" s="1132"/>
      <c r="O362" s="1157"/>
      <c r="P362" s="1157"/>
      <c r="Q362" s="838"/>
      <c r="R362" s="779"/>
      <c r="S362" s="1157"/>
      <c r="T362" s="1157"/>
    </row>
    <row r="363" spans="1:20" ht="12.75" customHeight="1">
      <c r="A363" s="1133" t="s">
        <v>271</v>
      </c>
      <c r="B363" s="1133" t="s">
        <v>206</v>
      </c>
      <c r="C363" s="265">
        <f>418644*2</f>
        <v>837288</v>
      </c>
      <c r="D363" s="313">
        <f>73878.5*2</f>
        <v>147757</v>
      </c>
      <c r="E363" s="270">
        <v>837288</v>
      </c>
      <c r="F363" s="193">
        <v>147757</v>
      </c>
      <c r="G363" s="370">
        <v>985045</v>
      </c>
      <c r="H363" s="318">
        <v>892.88</v>
      </c>
      <c r="I363" s="319">
        <v>892.88</v>
      </c>
      <c r="J363" s="319">
        <v>157.57</v>
      </c>
      <c r="K363" s="320">
        <v>157.57</v>
      </c>
      <c r="L363" s="1158">
        <f>SUM(H363:K373)</f>
        <v>935754.7799999998</v>
      </c>
      <c r="M363" s="934">
        <f>L363/E364*100</f>
        <v>94.99614535376554</v>
      </c>
      <c r="N363" s="1160">
        <f>1786+6665+42072+41502+41503+5632</f>
        <v>139160</v>
      </c>
      <c r="O363" s="1160">
        <f>N363/E363*100</f>
        <v>16.62032657819054</v>
      </c>
      <c r="P363" s="1160">
        <f>133528+2816*2</f>
        <v>139160</v>
      </c>
      <c r="Q363" s="838"/>
      <c r="R363" s="779">
        <f>E363+F363</f>
        <v>985045</v>
      </c>
      <c r="S363" s="1154">
        <f>P363/E363*100</f>
        <v>16.62032657819054</v>
      </c>
      <c r="T363" s="1154">
        <f>N363/SUM(H363:I373)*100</f>
        <v>17.49578666606319</v>
      </c>
    </row>
    <row r="364" spans="1:20" ht="12.75">
      <c r="A364" s="1134"/>
      <c r="B364" s="1134"/>
      <c r="C364" s="1119">
        <f>C363+D363</f>
        <v>985045</v>
      </c>
      <c r="D364" s="1120"/>
      <c r="E364" s="1135">
        <v>985045</v>
      </c>
      <c r="F364" s="1141"/>
      <c r="G364" s="1104">
        <v>985045</v>
      </c>
      <c r="H364" s="328">
        <v>503.2</v>
      </c>
      <c r="I364" s="329">
        <v>503.2</v>
      </c>
      <c r="J364" s="329">
        <v>88.8</v>
      </c>
      <c r="K364" s="330">
        <v>88.8</v>
      </c>
      <c r="L364" s="1159"/>
      <c r="M364" s="812"/>
      <c r="N364" s="1161"/>
      <c r="O364" s="1161"/>
      <c r="P364" s="1161"/>
      <c r="Q364" s="838"/>
      <c r="R364" s="779"/>
      <c r="S364" s="1155"/>
      <c r="T364" s="1155"/>
    </row>
    <row r="365" spans="1:20" ht="13.5" thickBot="1">
      <c r="A365" s="1134"/>
      <c r="B365" s="1134"/>
      <c r="C365" s="1121"/>
      <c r="D365" s="1122"/>
      <c r="E365" s="1137"/>
      <c r="F365" s="1142"/>
      <c r="G365" s="1105"/>
      <c r="H365" s="328">
        <v>16045.2</v>
      </c>
      <c r="I365" s="329">
        <v>16045.2</v>
      </c>
      <c r="J365" s="329">
        <v>2831.52</v>
      </c>
      <c r="K365" s="330">
        <v>2831.51</v>
      </c>
      <c r="L365" s="1159"/>
      <c r="M365" s="812"/>
      <c r="N365" s="1161"/>
      <c r="O365" s="1161"/>
      <c r="P365" s="1161"/>
      <c r="Q365" s="838"/>
      <c r="R365" s="779">
        <f>E364</f>
        <v>985045</v>
      </c>
      <c r="S365" s="1155"/>
      <c r="T365" s="1155"/>
    </row>
    <row r="366" spans="1:20" ht="12.75">
      <c r="A366" s="1134"/>
      <c r="B366" s="1134"/>
      <c r="C366" s="1121"/>
      <c r="D366" s="1122"/>
      <c r="E366" s="1137"/>
      <c r="F366" s="1142"/>
      <c r="G366" s="382"/>
      <c r="H366" s="328">
        <v>3332.11</v>
      </c>
      <c r="I366" s="329">
        <v>3332.11</v>
      </c>
      <c r="J366" s="329">
        <v>588.02</v>
      </c>
      <c r="K366" s="330">
        <v>588.02</v>
      </c>
      <c r="L366" s="1159"/>
      <c r="M366" s="812"/>
      <c r="N366" s="1161"/>
      <c r="O366" s="1161"/>
      <c r="P366" s="1161"/>
      <c r="Q366" s="843"/>
      <c r="R366" s="779"/>
      <c r="S366" s="1155"/>
      <c r="T366" s="1155"/>
    </row>
    <row r="367" spans="1:20" ht="12.75">
      <c r="A367" s="1134"/>
      <c r="B367" s="1134"/>
      <c r="C367" s="1121"/>
      <c r="D367" s="1122"/>
      <c r="E367" s="1137"/>
      <c r="F367" s="1142"/>
      <c r="G367" s="382"/>
      <c r="H367" s="328">
        <v>37601.75</v>
      </c>
      <c r="I367" s="329">
        <v>37601.75</v>
      </c>
      <c r="J367" s="329">
        <v>6635.6</v>
      </c>
      <c r="K367" s="330">
        <v>6635.6</v>
      </c>
      <c r="L367" s="1159"/>
      <c r="M367" s="812"/>
      <c r="N367" s="1161"/>
      <c r="O367" s="1161"/>
      <c r="P367" s="1161"/>
      <c r="Q367" s="843"/>
      <c r="R367" s="779"/>
      <c r="S367" s="1155"/>
      <c r="T367" s="1155"/>
    </row>
    <row r="368" spans="1:20" ht="12.75">
      <c r="A368" s="1134"/>
      <c r="B368" s="1134"/>
      <c r="C368" s="1121"/>
      <c r="D368" s="1122"/>
      <c r="E368" s="1137"/>
      <c r="F368" s="1142"/>
      <c r="G368" s="382"/>
      <c r="H368" s="328">
        <v>4486.74</v>
      </c>
      <c r="I368" s="329">
        <v>4486.74</v>
      </c>
      <c r="J368" s="329">
        <v>791.79</v>
      </c>
      <c r="K368" s="330">
        <v>791.78</v>
      </c>
      <c r="L368" s="1159"/>
      <c r="M368" s="812"/>
      <c r="N368" s="1161"/>
      <c r="O368" s="1161"/>
      <c r="P368" s="1161"/>
      <c r="Q368" s="843"/>
      <c r="R368" s="779"/>
      <c r="S368" s="1155"/>
      <c r="T368" s="1155"/>
    </row>
    <row r="369" spans="1:20" ht="12.75">
      <c r="A369" s="1134"/>
      <c r="B369" s="1134"/>
      <c r="C369" s="1121"/>
      <c r="D369" s="1122"/>
      <c r="E369" s="1137"/>
      <c r="F369" s="1142"/>
      <c r="G369" s="382"/>
      <c r="H369" s="328">
        <v>17976.69</v>
      </c>
      <c r="I369" s="329">
        <v>17976.69</v>
      </c>
      <c r="J369" s="329">
        <v>3172.37</v>
      </c>
      <c r="K369" s="330">
        <v>3172.36</v>
      </c>
      <c r="L369" s="1159"/>
      <c r="M369" s="812"/>
      <c r="N369" s="1161"/>
      <c r="O369" s="1161"/>
      <c r="P369" s="1161"/>
      <c r="Q369" s="843"/>
      <c r="R369" s="779"/>
      <c r="S369" s="1155"/>
      <c r="T369" s="1155"/>
    </row>
    <row r="370" spans="1:20" ht="12.75">
      <c r="A370" s="1134"/>
      <c r="B370" s="1134"/>
      <c r="C370" s="1121"/>
      <c r="D370" s="1122"/>
      <c r="E370" s="1137"/>
      <c r="F370" s="1142"/>
      <c r="G370" s="382"/>
      <c r="H370" s="328">
        <v>3900.62</v>
      </c>
      <c r="I370" s="329">
        <v>3900.62</v>
      </c>
      <c r="J370" s="329">
        <v>688.35</v>
      </c>
      <c r="K370" s="330">
        <v>688.35</v>
      </c>
      <c r="L370" s="1159"/>
      <c r="M370" s="812"/>
      <c r="N370" s="1161"/>
      <c r="O370" s="1161"/>
      <c r="P370" s="1161"/>
      <c r="Q370" s="843"/>
      <c r="R370" s="779"/>
      <c r="S370" s="1155"/>
      <c r="T370" s="1155"/>
    </row>
    <row r="371" spans="1:20" ht="12.75">
      <c r="A371" s="1134"/>
      <c r="B371" s="1134"/>
      <c r="C371" s="1121"/>
      <c r="D371" s="1122"/>
      <c r="E371" s="1137"/>
      <c r="F371" s="1142"/>
      <c r="G371" s="382"/>
      <c r="H371" s="328">
        <v>115275.23</v>
      </c>
      <c r="I371" s="329">
        <v>115275.23</v>
      </c>
      <c r="J371" s="329">
        <v>20342.69</v>
      </c>
      <c r="K371" s="330">
        <v>20342.69</v>
      </c>
      <c r="L371" s="1159"/>
      <c r="M371" s="812"/>
      <c r="N371" s="1161"/>
      <c r="O371" s="1161"/>
      <c r="P371" s="1161"/>
      <c r="Q371" s="843"/>
      <c r="R371" s="779"/>
      <c r="S371" s="1155"/>
      <c r="T371" s="1155"/>
    </row>
    <row r="372" spans="1:20" ht="12.75">
      <c r="A372" s="1134"/>
      <c r="B372" s="1134"/>
      <c r="C372" s="1121"/>
      <c r="D372" s="1122"/>
      <c r="E372" s="1137"/>
      <c r="F372" s="1142"/>
      <c r="G372" s="382"/>
      <c r="H372" s="328">
        <v>2816.15</v>
      </c>
      <c r="I372" s="329">
        <v>2816.15</v>
      </c>
      <c r="J372" s="329">
        <v>496.97</v>
      </c>
      <c r="K372" s="330">
        <v>496.97</v>
      </c>
      <c r="L372" s="1159"/>
      <c r="M372" s="812"/>
      <c r="N372" s="1161"/>
      <c r="O372" s="1161"/>
      <c r="P372" s="1161"/>
      <c r="Q372" s="843"/>
      <c r="R372" s="779"/>
      <c r="S372" s="1155"/>
      <c r="T372" s="1155"/>
    </row>
    <row r="373" spans="1:20" ht="13.5" thickBot="1">
      <c r="A373" s="1090"/>
      <c r="B373" s="1090"/>
      <c r="C373" s="905"/>
      <c r="D373" s="906"/>
      <c r="E373" s="1139"/>
      <c r="F373" s="1143"/>
      <c r="G373" s="382"/>
      <c r="H373" s="710">
        <v>194865.18</v>
      </c>
      <c r="I373" s="711">
        <v>194865.18</v>
      </c>
      <c r="J373" s="711">
        <v>34387.98</v>
      </c>
      <c r="K373" s="712">
        <v>34387.97</v>
      </c>
      <c r="L373" s="1113"/>
      <c r="M373" s="960"/>
      <c r="N373" s="1126"/>
      <c r="O373" s="1126"/>
      <c r="P373" s="1126"/>
      <c r="Q373" s="843"/>
      <c r="R373" s="779"/>
      <c r="S373" s="1108"/>
      <c r="T373" s="1108"/>
    </row>
    <row r="374" spans="1:20" ht="19.5" customHeight="1">
      <c r="A374" s="1133" t="s">
        <v>225</v>
      </c>
      <c r="B374" s="1097" t="s">
        <v>226</v>
      </c>
      <c r="C374" s="265">
        <f>344138+344138</f>
        <v>688276</v>
      </c>
      <c r="D374" s="313">
        <f>60730.5*2</f>
        <v>121461</v>
      </c>
      <c r="E374" s="261">
        <v>688276</v>
      </c>
      <c r="F374" s="193">
        <v>121461</v>
      </c>
      <c r="G374" s="370">
        <v>809737</v>
      </c>
      <c r="H374" s="318">
        <v>947.63</v>
      </c>
      <c r="I374" s="319">
        <v>947.63</v>
      </c>
      <c r="J374" s="319">
        <v>167.23</v>
      </c>
      <c r="K374" s="320">
        <v>167.23</v>
      </c>
      <c r="L374" s="1158">
        <f>SUM(H374:K380)</f>
        <v>765813.6399999999</v>
      </c>
      <c r="M374" s="1154">
        <f>L374/E375*100</f>
        <v>94.57560170771497</v>
      </c>
      <c r="N374" s="1160">
        <f>948+947+3097*2+225671*2+75512+75511+20244+20243</f>
        <v>650941</v>
      </c>
      <c r="O374" s="1160">
        <f>N374/E374*100</f>
        <v>94.57557723936327</v>
      </c>
      <c r="P374" s="1160">
        <f>948+947+3097+3097+225671*2+75511+75512</f>
        <v>610454</v>
      </c>
      <c r="Q374" s="844"/>
      <c r="R374" s="840">
        <f>E374+F374</f>
        <v>809737</v>
      </c>
      <c r="S374" s="1114">
        <f>P374/E374*100</f>
        <v>88.69319865867762</v>
      </c>
      <c r="T374" s="1114">
        <f>N374/SUM(H374:I380)*100</f>
        <v>99.9999170432417</v>
      </c>
    </row>
    <row r="375" spans="1:20" ht="19.5" customHeight="1">
      <c r="A375" s="1134"/>
      <c r="B375" s="1059"/>
      <c r="C375" s="1119">
        <f>C374+D374</f>
        <v>809737</v>
      </c>
      <c r="D375" s="1120"/>
      <c r="E375" s="1148">
        <v>809737</v>
      </c>
      <c r="F375" s="1149"/>
      <c r="G375" s="784">
        <v>809737</v>
      </c>
      <c r="H375" s="328">
        <v>58764.92</v>
      </c>
      <c r="I375" s="329">
        <v>58764.92</v>
      </c>
      <c r="J375" s="329">
        <v>10370.28</v>
      </c>
      <c r="K375" s="330">
        <v>10370.28</v>
      </c>
      <c r="L375" s="1159"/>
      <c r="M375" s="1155"/>
      <c r="N375" s="1161"/>
      <c r="O375" s="1161"/>
      <c r="P375" s="1161"/>
      <c r="Q375" s="843"/>
      <c r="R375" s="839"/>
      <c r="S375" s="1115"/>
      <c r="T375" s="1115"/>
    </row>
    <row r="376" spans="1:20" ht="19.5" customHeight="1" thickBot="1">
      <c r="A376" s="1134"/>
      <c r="B376" s="1059"/>
      <c r="C376" s="1121"/>
      <c r="D376" s="1122"/>
      <c r="E376" s="1150"/>
      <c r="F376" s="1151"/>
      <c r="G376" s="785"/>
      <c r="H376" s="328">
        <v>115389.96</v>
      </c>
      <c r="I376" s="329">
        <v>115389.96</v>
      </c>
      <c r="J376" s="329">
        <v>20362.94</v>
      </c>
      <c r="K376" s="330">
        <v>20362.94</v>
      </c>
      <c r="L376" s="1159"/>
      <c r="M376" s="1155"/>
      <c r="N376" s="1161"/>
      <c r="O376" s="1161"/>
      <c r="P376" s="1161"/>
      <c r="Q376" s="843"/>
      <c r="R376" s="839">
        <f>E375</f>
        <v>809737</v>
      </c>
      <c r="S376" s="1115"/>
      <c r="T376" s="1115"/>
    </row>
    <row r="377" spans="1:20" ht="19.5" customHeight="1" thickBot="1">
      <c r="A377" s="1134"/>
      <c r="B377" s="1059"/>
      <c r="C377" s="1121"/>
      <c r="D377" s="1122"/>
      <c r="E377" s="1150"/>
      <c r="F377" s="1151"/>
      <c r="G377" s="388"/>
      <c r="H377" s="328">
        <v>50866.8</v>
      </c>
      <c r="I377" s="329">
        <v>50866.8</v>
      </c>
      <c r="J377" s="329">
        <v>8976.5</v>
      </c>
      <c r="K377" s="330">
        <v>8976.5</v>
      </c>
      <c r="L377" s="1159"/>
      <c r="M377" s="1155"/>
      <c r="N377" s="1161"/>
      <c r="O377" s="1161"/>
      <c r="P377" s="1161"/>
      <c r="Q377" s="845"/>
      <c r="R377" s="841"/>
      <c r="S377" s="1115"/>
      <c r="T377" s="1115"/>
    </row>
    <row r="378" spans="1:20" ht="19.5" customHeight="1" thickBot="1">
      <c r="A378" s="1134"/>
      <c r="B378" s="1059"/>
      <c r="C378" s="1121"/>
      <c r="D378" s="1122"/>
      <c r="E378" s="1150"/>
      <c r="F378" s="1151"/>
      <c r="G378" s="388"/>
      <c r="H378" s="328">
        <v>3096.71</v>
      </c>
      <c r="I378" s="329">
        <v>3096.71</v>
      </c>
      <c r="J378" s="329">
        <v>546.49</v>
      </c>
      <c r="K378" s="330">
        <v>546.48</v>
      </c>
      <c r="L378" s="1159"/>
      <c r="M378" s="1155"/>
      <c r="N378" s="1161"/>
      <c r="O378" s="1161"/>
      <c r="P378" s="1161"/>
      <c r="Q378" s="845"/>
      <c r="R378" s="841"/>
      <c r="S378" s="1115"/>
      <c r="T378" s="1115"/>
    </row>
    <row r="379" spans="1:20" ht="19.5" customHeight="1" thickBot="1">
      <c r="A379" s="1134"/>
      <c r="B379" s="1059"/>
      <c r="C379" s="1121"/>
      <c r="D379" s="1122"/>
      <c r="E379" s="1150"/>
      <c r="F379" s="1151"/>
      <c r="G379" s="388"/>
      <c r="H379" s="328">
        <v>95755.49</v>
      </c>
      <c r="I379" s="329">
        <v>95755.49</v>
      </c>
      <c r="J379" s="329">
        <v>16898.03</v>
      </c>
      <c r="K379" s="330">
        <v>16898.03</v>
      </c>
      <c r="L379" s="1159"/>
      <c r="M379" s="1155"/>
      <c r="N379" s="1161"/>
      <c r="O379" s="1161"/>
      <c r="P379" s="1161"/>
      <c r="Q379" s="843"/>
      <c r="R379" s="839"/>
      <c r="S379" s="1115"/>
      <c r="T379" s="1115"/>
    </row>
    <row r="380" spans="1:20" ht="19.5" customHeight="1" thickBot="1">
      <c r="A380" s="1090"/>
      <c r="B380" s="1060"/>
      <c r="C380" s="905"/>
      <c r="D380" s="906"/>
      <c r="E380" s="1152"/>
      <c r="F380" s="1153"/>
      <c r="G380" s="388"/>
      <c r="H380" s="875">
        <v>649.26</v>
      </c>
      <c r="I380" s="876">
        <v>649.26</v>
      </c>
      <c r="J380" s="876">
        <v>114.59</v>
      </c>
      <c r="K380" s="877">
        <v>114.58</v>
      </c>
      <c r="L380" s="1113"/>
      <c r="M380" s="1108"/>
      <c r="N380" s="1126"/>
      <c r="O380" s="1126"/>
      <c r="P380" s="1126"/>
      <c r="Q380" s="843"/>
      <c r="R380" s="839"/>
      <c r="S380" s="1116"/>
      <c r="T380" s="1116"/>
    </row>
    <row r="381" spans="1:20" ht="18.75" customHeight="1">
      <c r="A381" s="1133" t="s">
        <v>156</v>
      </c>
      <c r="B381" s="1133" t="s">
        <v>157</v>
      </c>
      <c r="C381" s="272">
        <v>269599</v>
      </c>
      <c r="D381" s="271">
        <v>47576</v>
      </c>
      <c r="E381" s="272">
        <v>269599</v>
      </c>
      <c r="F381" s="271">
        <v>47576</v>
      </c>
      <c r="G381" s="371">
        <v>317175</v>
      </c>
      <c r="H381" s="878">
        <v>0</v>
      </c>
      <c r="I381" s="879">
        <v>91013.75</v>
      </c>
      <c r="J381" s="879">
        <v>0</v>
      </c>
      <c r="K381" s="880">
        <v>16061.25</v>
      </c>
      <c r="L381" s="1158">
        <f>SUM(H381:K385)</f>
        <v>301316.25</v>
      </c>
      <c r="M381" s="1154">
        <f>L381/E382*100</f>
        <v>95</v>
      </c>
      <c r="N381" s="1077">
        <f>8891+49859+30294+35944+33260</f>
        <v>158248</v>
      </c>
      <c r="O381" s="1077">
        <f>N381/E381*100</f>
        <v>58.69754709772662</v>
      </c>
      <c r="P381" s="1077">
        <f>0+8891+49859+30294+35944+33260</f>
        <v>158248</v>
      </c>
      <c r="Q381" s="1028">
        <f>P381/E381*100</f>
        <v>58.69754709772662</v>
      </c>
      <c r="R381" s="779">
        <f>E381+F381</f>
        <v>317175</v>
      </c>
      <c r="S381" s="1114">
        <f>P381/E381*100</f>
        <v>58.69754709772662</v>
      </c>
      <c r="T381" s="1114">
        <f>N381/SUM(H381:I385)*100</f>
        <v>61.7868916818175</v>
      </c>
    </row>
    <row r="382" spans="1:20" ht="22.5" customHeight="1" thickBot="1">
      <c r="A382" s="1134"/>
      <c r="B382" s="1134"/>
      <c r="C382" s="1148">
        <f>C381+D381</f>
        <v>317175</v>
      </c>
      <c r="D382" s="1149"/>
      <c r="E382" s="1148">
        <v>317175</v>
      </c>
      <c r="F382" s="1149"/>
      <c r="G382" s="385">
        <v>317175</v>
      </c>
      <c r="H382" s="328">
        <v>0</v>
      </c>
      <c r="I382" s="329">
        <v>30210.09</v>
      </c>
      <c r="J382" s="329">
        <v>0</v>
      </c>
      <c r="K382" s="330">
        <v>5331.19</v>
      </c>
      <c r="L382" s="1159"/>
      <c r="M382" s="1155"/>
      <c r="N382" s="1075"/>
      <c r="O382" s="1075"/>
      <c r="P382" s="1075"/>
      <c r="Q382" s="1085"/>
      <c r="R382" s="779">
        <f>E382</f>
        <v>317175</v>
      </c>
      <c r="S382" s="1115"/>
      <c r="T382" s="1115"/>
    </row>
    <row r="383" spans="1:20" ht="22.5" customHeight="1">
      <c r="A383" s="1134"/>
      <c r="B383" s="1134"/>
      <c r="C383" s="1150"/>
      <c r="D383" s="1151"/>
      <c r="E383" s="1150"/>
      <c r="F383" s="1151"/>
      <c r="G383" s="382"/>
      <c r="H383" s="328">
        <v>0</v>
      </c>
      <c r="I383" s="329">
        <v>75659.54</v>
      </c>
      <c r="J383" s="329">
        <v>0</v>
      </c>
      <c r="K383" s="330">
        <v>13351.68</v>
      </c>
      <c r="L383" s="1159"/>
      <c r="M383" s="1155"/>
      <c r="N383" s="1075"/>
      <c r="O383" s="1075"/>
      <c r="P383" s="1075"/>
      <c r="Q383" s="838"/>
      <c r="R383" s="779"/>
      <c r="S383" s="1115"/>
      <c r="T383" s="1115"/>
    </row>
    <row r="384" spans="1:20" ht="22.5" customHeight="1">
      <c r="A384" s="1134"/>
      <c r="B384" s="1134"/>
      <c r="C384" s="1150"/>
      <c r="D384" s="1151"/>
      <c r="E384" s="1150"/>
      <c r="F384" s="1151"/>
      <c r="G384" s="382"/>
      <c r="H384" s="328">
        <v>0</v>
      </c>
      <c r="I384" s="329">
        <v>35944.37</v>
      </c>
      <c r="J384" s="329">
        <v>0</v>
      </c>
      <c r="K384" s="330">
        <v>6343.13</v>
      </c>
      <c r="L384" s="1159"/>
      <c r="M384" s="1155"/>
      <c r="N384" s="1075"/>
      <c r="O384" s="1075"/>
      <c r="P384" s="1075"/>
      <c r="Q384" s="838"/>
      <c r="R384" s="779"/>
      <c r="S384" s="1115"/>
      <c r="T384" s="1115"/>
    </row>
    <row r="385" spans="1:20" ht="22.5" customHeight="1" thickBot="1">
      <c r="A385" s="1090"/>
      <c r="B385" s="1090"/>
      <c r="C385" s="1152"/>
      <c r="D385" s="1153"/>
      <c r="E385" s="1152"/>
      <c r="F385" s="1153"/>
      <c r="G385" s="382"/>
      <c r="H385" s="710">
        <v>0</v>
      </c>
      <c r="I385" s="711">
        <v>23291.3</v>
      </c>
      <c r="J385" s="711">
        <v>0</v>
      </c>
      <c r="K385" s="712">
        <v>4109.95</v>
      </c>
      <c r="L385" s="1113"/>
      <c r="M385" s="1108"/>
      <c r="N385" s="1076"/>
      <c r="O385" s="1076"/>
      <c r="P385" s="1076"/>
      <c r="Q385" s="838"/>
      <c r="R385" s="779"/>
      <c r="S385" s="1116"/>
      <c r="T385" s="1116"/>
    </row>
    <row r="386" spans="1:20" ht="21.75" customHeight="1">
      <c r="A386" s="1133" t="s">
        <v>190</v>
      </c>
      <c r="B386" s="1133" t="s">
        <v>191</v>
      </c>
      <c r="C386" s="272">
        <v>386857</v>
      </c>
      <c r="D386" s="271">
        <v>68269</v>
      </c>
      <c r="E386" s="261">
        <v>386857</v>
      </c>
      <c r="F386" s="193">
        <v>68269</v>
      </c>
      <c r="G386" s="370">
        <v>455126</v>
      </c>
      <c r="H386" s="318">
        <v>0</v>
      </c>
      <c r="I386" s="319">
        <v>154742.84</v>
      </c>
      <c r="J386" s="319">
        <v>0</v>
      </c>
      <c r="K386" s="320">
        <v>27307.56</v>
      </c>
      <c r="L386" s="1158">
        <f>SUM(H386:K389)</f>
        <v>432369.7</v>
      </c>
      <c r="M386" s="1154">
        <f>L386/E387*100</f>
        <v>95</v>
      </c>
      <c r="N386" s="963">
        <v>255008</v>
      </c>
      <c r="O386" s="1160">
        <f>N386/E386*100</f>
        <v>65.91789731089266</v>
      </c>
      <c r="P386" s="1160">
        <f>4369+123511+12340+114788</f>
        <v>255008</v>
      </c>
      <c r="Q386" s="1083">
        <f>P386/E386*100</f>
        <v>65.91789731089266</v>
      </c>
      <c r="R386" s="779">
        <f>E386+F386</f>
        <v>455126</v>
      </c>
      <c r="S386" s="1154">
        <f>P386/E386*100</f>
        <v>65.91789731089266</v>
      </c>
      <c r="T386" s="1154">
        <f>N386/SUM(H386:I389)*100</f>
        <v>69.3872433351154</v>
      </c>
    </row>
    <row r="387" spans="1:20" ht="21" customHeight="1" thickBot="1">
      <c r="A387" s="1134"/>
      <c r="B387" s="1067"/>
      <c r="C387" s="1135">
        <f>C386+D386</f>
        <v>455126</v>
      </c>
      <c r="D387" s="1136"/>
      <c r="E387" s="1135">
        <v>455126</v>
      </c>
      <c r="F387" s="1136"/>
      <c r="G387" s="385">
        <v>455126</v>
      </c>
      <c r="H387" s="328">
        <v>0</v>
      </c>
      <c r="I387" s="329">
        <v>43260.66</v>
      </c>
      <c r="J387" s="329">
        <v>0</v>
      </c>
      <c r="K387" s="330">
        <v>7634.24</v>
      </c>
      <c r="L387" s="914"/>
      <c r="M387" s="1155"/>
      <c r="N387" s="931"/>
      <c r="O387" s="1161"/>
      <c r="P387" s="1161"/>
      <c r="Q387" s="1085"/>
      <c r="R387" s="779">
        <f>E387</f>
        <v>455126</v>
      </c>
      <c r="S387" s="1155"/>
      <c r="T387" s="1155"/>
    </row>
    <row r="388" spans="1:20" ht="21" customHeight="1">
      <c r="A388" s="1067"/>
      <c r="B388" s="1067"/>
      <c r="C388" s="1144"/>
      <c r="D388" s="1145"/>
      <c r="E388" s="1144"/>
      <c r="F388" s="1145"/>
      <c r="G388" s="382"/>
      <c r="H388" s="328">
        <v>0</v>
      </c>
      <c r="I388" s="329">
        <v>96958.17</v>
      </c>
      <c r="J388" s="329">
        <v>0</v>
      </c>
      <c r="K388" s="330">
        <v>17110.26</v>
      </c>
      <c r="L388" s="1156"/>
      <c r="M388" s="1156"/>
      <c r="N388" s="930"/>
      <c r="O388" s="1156"/>
      <c r="P388" s="1156"/>
      <c r="Q388" s="838"/>
      <c r="R388" s="779"/>
      <c r="S388" s="1156"/>
      <c r="T388" s="1156"/>
    </row>
    <row r="389" spans="1:20" ht="21" customHeight="1" thickBot="1">
      <c r="A389" s="1128"/>
      <c r="B389" s="1128"/>
      <c r="C389" s="1146"/>
      <c r="D389" s="1147"/>
      <c r="E389" s="1146"/>
      <c r="F389" s="1147"/>
      <c r="G389" s="382"/>
      <c r="H389" s="710">
        <v>0</v>
      </c>
      <c r="I389" s="711">
        <v>72552.57</v>
      </c>
      <c r="J389" s="711">
        <v>0</v>
      </c>
      <c r="K389" s="712">
        <v>12803.4</v>
      </c>
      <c r="L389" s="1132"/>
      <c r="M389" s="1132"/>
      <c r="N389" s="932"/>
      <c r="O389" s="1132"/>
      <c r="P389" s="1132"/>
      <c r="Q389" s="838"/>
      <c r="R389" s="779"/>
      <c r="S389" s="1132"/>
      <c r="T389" s="1132"/>
    </row>
    <row r="390" spans="1:20" ht="24.75" customHeight="1">
      <c r="A390" s="1133" t="s">
        <v>272</v>
      </c>
      <c r="B390" s="1097" t="s">
        <v>182</v>
      </c>
      <c r="C390" s="261">
        <f>158077*2</f>
        <v>316154</v>
      </c>
      <c r="D390" s="193">
        <f>27896*2</f>
        <v>55792</v>
      </c>
      <c r="E390" s="261">
        <v>316154</v>
      </c>
      <c r="F390" s="193">
        <v>55792</v>
      </c>
      <c r="G390" s="370">
        <v>371946</v>
      </c>
      <c r="H390" s="318">
        <v>63230.65</v>
      </c>
      <c r="I390" s="319">
        <v>63230.65</v>
      </c>
      <c r="J390" s="319">
        <v>11158.35</v>
      </c>
      <c r="K390" s="320">
        <v>11158.35</v>
      </c>
      <c r="L390" s="1158">
        <f>SUM(H390:K393)</f>
        <v>353348.69999999995</v>
      </c>
      <c r="M390" s="1154">
        <f>L390/E391*100</f>
        <v>94.99999999999999</v>
      </c>
      <c r="N390" s="964">
        <v>204944</v>
      </c>
      <c r="O390" s="1077">
        <f>N390/E390*100</f>
        <v>64.82410470846486</v>
      </c>
      <c r="P390" s="1077">
        <f>119330+5597+5596+37210+37211</f>
        <v>204944</v>
      </c>
      <c r="Q390" s="1083">
        <f>P390/E390*100</f>
        <v>64.82410470846486</v>
      </c>
      <c r="R390" s="779">
        <f>E390+F390</f>
        <v>371946</v>
      </c>
      <c r="S390" s="1114">
        <f>P390/E390*100</f>
        <v>64.82410470846486</v>
      </c>
      <c r="T390" s="1114">
        <f>N390/SUM(H390:I393)*100</f>
        <v>68.23588151786613</v>
      </c>
    </row>
    <row r="391" spans="1:20" ht="24" customHeight="1" thickBot="1">
      <c r="A391" s="1134"/>
      <c r="B391" s="1059"/>
      <c r="C391" s="1148">
        <f>C390+D390</f>
        <v>371946</v>
      </c>
      <c r="D391" s="1149"/>
      <c r="E391" s="1148">
        <v>371946</v>
      </c>
      <c r="F391" s="1149"/>
      <c r="G391" s="382">
        <v>371946</v>
      </c>
      <c r="H391" s="328">
        <v>20334.97</v>
      </c>
      <c r="I391" s="329">
        <v>20334.97</v>
      </c>
      <c r="J391" s="329">
        <v>3588.53</v>
      </c>
      <c r="K391" s="330">
        <v>3588.53</v>
      </c>
      <c r="L391" s="1159"/>
      <c r="M391" s="1155"/>
      <c r="N391" s="933"/>
      <c r="O391" s="1075"/>
      <c r="P391" s="1075"/>
      <c r="Q391" s="1085"/>
      <c r="R391" s="779">
        <f>E391</f>
        <v>371946</v>
      </c>
      <c r="S391" s="1115"/>
      <c r="T391" s="1115"/>
    </row>
    <row r="392" spans="1:20" ht="24" customHeight="1">
      <c r="A392" s="1134"/>
      <c r="B392" s="1059"/>
      <c r="C392" s="1150"/>
      <c r="D392" s="1151"/>
      <c r="E392" s="1150"/>
      <c r="F392" s="1151"/>
      <c r="G392" s="382"/>
      <c r="H392" s="328">
        <v>27339.11</v>
      </c>
      <c r="I392" s="329">
        <v>27339.11</v>
      </c>
      <c r="J392" s="329">
        <v>4824.55</v>
      </c>
      <c r="K392" s="330">
        <v>4824.55</v>
      </c>
      <c r="L392" s="1159"/>
      <c r="M392" s="1155"/>
      <c r="N392" s="933"/>
      <c r="O392" s="1075"/>
      <c r="P392" s="1075"/>
      <c r="Q392" s="838"/>
      <c r="R392" s="779"/>
      <c r="S392" s="1115"/>
      <c r="T392" s="1115"/>
    </row>
    <row r="393" spans="1:20" ht="24" customHeight="1" thickBot="1">
      <c r="A393" s="1134"/>
      <c r="B393" s="1059"/>
      <c r="C393" s="1150"/>
      <c r="D393" s="1151"/>
      <c r="E393" s="1150"/>
      <c r="F393" s="1151"/>
      <c r="G393" s="382"/>
      <c r="H393" s="710">
        <v>39268.46</v>
      </c>
      <c r="I393" s="711">
        <v>39268.46</v>
      </c>
      <c r="J393" s="711">
        <v>6929.73</v>
      </c>
      <c r="K393" s="712">
        <v>6929.73</v>
      </c>
      <c r="L393" s="1159"/>
      <c r="M393" s="1155"/>
      <c r="N393" s="933"/>
      <c r="O393" s="1075"/>
      <c r="P393" s="1075"/>
      <c r="Q393" s="838"/>
      <c r="R393" s="779"/>
      <c r="S393" s="1115"/>
      <c r="T393" s="1115"/>
    </row>
    <row r="394" spans="1:20" ht="19.5" customHeight="1">
      <c r="A394" s="1133" t="s">
        <v>187</v>
      </c>
      <c r="B394" s="1133" t="s">
        <v>188</v>
      </c>
      <c r="C394" s="261">
        <f>537634+537633</f>
        <v>1075267</v>
      </c>
      <c r="D394" s="193">
        <f>59737+59737</f>
        <v>119474</v>
      </c>
      <c r="E394" s="261">
        <v>1075267</v>
      </c>
      <c r="F394" s="193">
        <v>119474</v>
      </c>
      <c r="G394" s="370">
        <v>1194741</v>
      </c>
      <c r="H394" s="318">
        <v>34117.24</v>
      </c>
      <c r="I394" s="319">
        <v>34117.24</v>
      </c>
      <c r="J394" s="319">
        <v>3790.81</v>
      </c>
      <c r="K394" s="320">
        <v>3790.8</v>
      </c>
      <c r="L394" s="1158">
        <f>SUM(H394:K410)</f>
        <v>1125181.8299999996</v>
      </c>
      <c r="M394" s="1154">
        <f>L394/E395*100</f>
        <v>94.17788709017265</v>
      </c>
      <c r="N394" s="1160">
        <f>74428*2+53950+53949+338811+178680*2</f>
        <v>952926</v>
      </c>
      <c r="O394" s="1160">
        <f>N394/E394*100</f>
        <v>88.62226777163254</v>
      </c>
      <c r="P394" s="1160">
        <f>256755+169406+169405+178680*2</f>
        <v>952926</v>
      </c>
      <c r="Q394" s="1083">
        <f>P394/E394*100</f>
        <v>88.62226777163254</v>
      </c>
      <c r="R394" s="840">
        <f>E394+F394</f>
        <v>1194741</v>
      </c>
      <c r="S394" s="1154">
        <f>P394/E394*100</f>
        <v>88.62226777163254</v>
      </c>
      <c r="T394" s="1154">
        <f>N394/SUM(H394:I410)*100</f>
        <v>94.10094143601212</v>
      </c>
    </row>
    <row r="395" spans="1:20" ht="19.5" customHeight="1" thickBot="1">
      <c r="A395" s="1134"/>
      <c r="B395" s="1134"/>
      <c r="C395" s="1135">
        <f>C394+D394</f>
        <v>1194741</v>
      </c>
      <c r="D395" s="1136"/>
      <c r="E395" s="1135">
        <v>1194741</v>
      </c>
      <c r="F395" s="1136"/>
      <c r="G395" s="891">
        <v>1194741</v>
      </c>
      <c r="H395" s="328">
        <v>30299.23</v>
      </c>
      <c r="I395" s="329">
        <v>30299.23</v>
      </c>
      <c r="J395" s="329">
        <v>3366.59</v>
      </c>
      <c r="K395" s="330">
        <v>3366.58</v>
      </c>
      <c r="L395" s="1159"/>
      <c r="M395" s="1155"/>
      <c r="N395" s="1161"/>
      <c r="O395" s="1161"/>
      <c r="P395" s="1161"/>
      <c r="Q395" s="1085"/>
      <c r="R395" s="839"/>
      <c r="S395" s="1155"/>
      <c r="T395" s="1155"/>
    </row>
    <row r="396" spans="1:20" ht="19.5" customHeight="1">
      <c r="A396" s="1134"/>
      <c r="B396" s="1134"/>
      <c r="C396" s="1137"/>
      <c r="D396" s="1138"/>
      <c r="E396" s="1137"/>
      <c r="F396" s="1138"/>
      <c r="G396" s="892"/>
      <c r="H396" s="328">
        <v>16322.95</v>
      </c>
      <c r="I396" s="329">
        <v>16322.95</v>
      </c>
      <c r="J396" s="329">
        <v>1813.66</v>
      </c>
      <c r="K396" s="330">
        <v>1813.66</v>
      </c>
      <c r="L396" s="1159"/>
      <c r="M396" s="1155"/>
      <c r="N396" s="1161"/>
      <c r="O396" s="1161"/>
      <c r="P396" s="1161"/>
      <c r="Q396" s="838"/>
      <c r="R396" s="839"/>
      <c r="S396" s="1155"/>
      <c r="T396" s="1155"/>
    </row>
    <row r="397" spans="1:20" ht="19.5" customHeight="1">
      <c r="A397" s="1134"/>
      <c r="B397" s="1134"/>
      <c r="C397" s="1137"/>
      <c r="D397" s="1138"/>
      <c r="E397" s="1137"/>
      <c r="F397" s="1138"/>
      <c r="G397" s="892"/>
      <c r="H397" s="328">
        <v>22381.92</v>
      </c>
      <c r="I397" s="329">
        <v>22381.92</v>
      </c>
      <c r="J397" s="329">
        <v>2486.88</v>
      </c>
      <c r="K397" s="330">
        <v>2486.88</v>
      </c>
      <c r="L397" s="1159"/>
      <c r="M397" s="1155"/>
      <c r="N397" s="1161"/>
      <c r="O397" s="1161"/>
      <c r="P397" s="1161"/>
      <c r="Q397" s="838"/>
      <c r="R397" s="839"/>
      <c r="S397" s="1155"/>
      <c r="T397" s="1155"/>
    </row>
    <row r="398" spans="1:20" ht="19.5" customHeight="1">
      <c r="A398" s="1134"/>
      <c r="B398" s="1134"/>
      <c r="C398" s="1137"/>
      <c r="D398" s="1138"/>
      <c r="E398" s="1137"/>
      <c r="F398" s="1138"/>
      <c r="G398" s="892"/>
      <c r="H398" s="328">
        <v>10011.6</v>
      </c>
      <c r="I398" s="329">
        <v>10011.6</v>
      </c>
      <c r="J398" s="329">
        <v>1112.4</v>
      </c>
      <c r="K398" s="330">
        <v>1112.4</v>
      </c>
      <c r="L398" s="1159"/>
      <c r="M398" s="1155"/>
      <c r="N398" s="1161"/>
      <c r="O398" s="1161"/>
      <c r="P398" s="1161"/>
      <c r="Q398" s="838"/>
      <c r="R398" s="839"/>
      <c r="S398" s="1155"/>
      <c r="T398" s="1155"/>
    </row>
    <row r="399" spans="1:20" ht="19.5" customHeight="1">
      <c r="A399" s="1134"/>
      <c r="B399" s="1134"/>
      <c r="C399" s="1137"/>
      <c r="D399" s="1138"/>
      <c r="E399" s="1137"/>
      <c r="F399" s="1138"/>
      <c r="G399" s="892"/>
      <c r="H399" s="328">
        <v>7735.78</v>
      </c>
      <c r="I399" s="329">
        <v>7735.78</v>
      </c>
      <c r="J399" s="329">
        <v>859.53</v>
      </c>
      <c r="K399" s="330">
        <v>859.53</v>
      </c>
      <c r="L399" s="1159"/>
      <c r="M399" s="1155"/>
      <c r="N399" s="1161"/>
      <c r="O399" s="1161"/>
      <c r="P399" s="1161"/>
      <c r="Q399" s="838"/>
      <c r="R399" s="839"/>
      <c r="S399" s="1155"/>
      <c r="T399" s="1155"/>
    </row>
    <row r="400" spans="1:20" ht="19.5" customHeight="1">
      <c r="A400" s="1134"/>
      <c r="B400" s="1134"/>
      <c r="C400" s="1137"/>
      <c r="D400" s="1138"/>
      <c r="E400" s="1137"/>
      <c r="F400" s="1138"/>
      <c r="G400" s="892"/>
      <c r="H400" s="328">
        <v>1274.49</v>
      </c>
      <c r="I400" s="329">
        <v>1274.49</v>
      </c>
      <c r="J400" s="329">
        <v>141.61</v>
      </c>
      <c r="K400" s="330">
        <v>141.61</v>
      </c>
      <c r="L400" s="1159"/>
      <c r="M400" s="1155"/>
      <c r="N400" s="1161"/>
      <c r="O400" s="1161"/>
      <c r="P400" s="1161"/>
      <c r="Q400" s="838"/>
      <c r="R400" s="839"/>
      <c r="S400" s="1155"/>
      <c r="T400" s="1155"/>
    </row>
    <row r="401" spans="1:20" ht="19.5" customHeight="1">
      <c r="A401" s="1134"/>
      <c r="B401" s="1134"/>
      <c r="C401" s="1137"/>
      <c r="D401" s="1138"/>
      <c r="E401" s="1137"/>
      <c r="F401" s="1138"/>
      <c r="G401" s="892"/>
      <c r="H401" s="328">
        <v>7508.7</v>
      </c>
      <c r="I401" s="329">
        <v>7508.7</v>
      </c>
      <c r="J401" s="329">
        <v>834.3</v>
      </c>
      <c r="K401" s="330">
        <v>834.3</v>
      </c>
      <c r="L401" s="1159"/>
      <c r="M401" s="1155"/>
      <c r="N401" s="1161"/>
      <c r="O401" s="1161"/>
      <c r="P401" s="1161"/>
      <c r="Q401" s="838"/>
      <c r="R401" s="839"/>
      <c r="S401" s="1155"/>
      <c r="T401" s="1155"/>
    </row>
    <row r="402" spans="1:20" ht="19.5" customHeight="1" thickBot="1">
      <c r="A402" s="1134"/>
      <c r="B402" s="1134"/>
      <c r="C402" s="1137"/>
      <c r="D402" s="1138"/>
      <c r="E402" s="1137"/>
      <c r="F402" s="1138"/>
      <c r="G402" s="893"/>
      <c r="H402" s="328">
        <v>17444.66</v>
      </c>
      <c r="I402" s="329">
        <v>17444.66</v>
      </c>
      <c r="J402" s="329">
        <v>1938.3</v>
      </c>
      <c r="K402" s="330">
        <v>1938.3</v>
      </c>
      <c r="L402" s="1159"/>
      <c r="M402" s="1155"/>
      <c r="N402" s="1161"/>
      <c r="O402" s="1161"/>
      <c r="P402" s="1161"/>
      <c r="Q402" s="838"/>
      <c r="R402" s="839">
        <f>E395</f>
        <v>1194741</v>
      </c>
      <c r="S402" s="1155"/>
      <c r="T402" s="1155"/>
    </row>
    <row r="403" spans="1:20" ht="19.5" customHeight="1">
      <c r="A403" s="1134"/>
      <c r="B403" s="1134"/>
      <c r="C403" s="1137"/>
      <c r="D403" s="1138"/>
      <c r="E403" s="1137"/>
      <c r="F403" s="1138"/>
      <c r="G403" s="397"/>
      <c r="H403" s="328">
        <v>50024.32</v>
      </c>
      <c r="I403" s="329">
        <v>50024.32</v>
      </c>
      <c r="J403" s="329">
        <v>5558.26</v>
      </c>
      <c r="K403" s="330">
        <v>5558.26</v>
      </c>
      <c r="L403" s="1159"/>
      <c r="M403" s="1155"/>
      <c r="N403" s="1161"/>
      <c r="O403" s="1161"/>
      <c r="P403" s="1161"/>
      <c r="Q403" s="838"/>
      <c r="R403" s="839"/>
      <c r="S403" s="1155"/>
      <c r="T403" s="1155"/>
    </row>
    <row r="404" spans="1:20" ht="21.75" customHeight="1">
      <c r="A404" s="1134"/>
      <c r="B404" s="1134"/>
      <c r="C404" s="1137"/>
      <c r="D404" s="1138"/>
      <c r="E404" s="1137"/>
      <c r="F404" s="1138"/>
      <c r="G404" s="397"/>
      <c r="H404" s="328">
        <v>35241.31</v>
      </c>
      <c r="I404" s="329">
        <v>35241.31</v>
      </c>
      <c r="J404" s="329">
        <v>3915.7</v>
      </c>
      <c r="K404" s="330">
        <v>3915.7</v>
      </c>
      <c r="L404" s="1159"/>
      <c r="M404" s="1155"/>
      <c r="N404" s="1161"/>
      <c r="O404" s="1161"/>
      <c r="P404" s="1161"/>
      <c r="Q404" s="838"/>
      <c r="R404" s="839"/>
      <c r="S404" s="1155"/>
      <c r="T404" s="1155"/>
    </row>
    <row r="405" spans="1:20" ht="21.75" customHeight="1">
      <c r="A405" s="1134"/>
      <c r="B405" s="1134"/>
      <c r="C405" s="1137"/>
      <c r="D405" s="1138"/>
      <c r="E405" s="1137"/>
      <c r="F405" s="1138"/>
      <c r="G405" s="397"/>
      <c r="H405" s="328">
        <v>42895.26</v>
      </c>
      <c r="I405" s="329">
        <f>H405</f>
        <v>42895.26</v>
      </c>
      <c r="J405" s="329">
        <v>4766.15</v>
      </c>
      <c r="K405" s="330">
        <v>4766.14</v>
      </c>
      <c r="L405" s="1159"/>
      <c r="M405" s="1155"/>
      <c r="N405" s="1161"/>
      <c r="O405" s="1161"/>
      <c r="P405" s="1161"/>
      <c r="Q405" s="838"/>
      <c r="R405" s="839"/>
      <c r="S405" s="1155"/>
      <c r="T405" s="1155"/>
    </row>
    <row r="406" spans="1:20" ht="21.75" customHeight="1">
      <c r="A406" s="1134"/>
      <c r="B406" s="1134"/>
      <c r="C406" s="1137"/>
      <c r="D406" s="1138"/>
      <c r="E406" s="1137"/>
      <c r="F406" s="1138"/>
      <c r="G406" s="397"/>
      <c r="H406" s="328">
        <v>100068.35</v>
      </c>
      <c r="I406" s="329">
        <v>100068.35</v>
      </c>
      <c r="J406" s="329">
        <v>11118.71</v>
      </c>
      <c r="K406" s="330">
        <v>11118.7</v>
      </c>
      <c r="L406" s="1159"/>
      <c r="M406" s="1155"/>
      <c r="N406" s="1161"/>
      <c r="O406" s="1161"/>
      <c r="P406" s="1161"/>
      <c r="Q406" s="838"/>
      <c r="R406" s="839"/>
      <c r="S406" s="1155"/>
      <c r="T406" s="1155"/>
    </row>
    <row r="407" spans="1:20" ht="21.75" customHeight="1">
      <c r="A407" s="1134"/>
      <c r="B407" s="1134"/>
      <c r="C407" s="1137"/>
      <c r="D407" s="1138"/>
      <c r="E407" s="1137"/>
      <c r="F407" s="1138"/>
      <c r="G407" s="397"/>
      <c r="H407" s="328">
        <v>40759.85</v>
      </c>
      <c r="I407" s="329">
        <v>40759.85</v>
      </c>
      <c r="J407" s="329">
        <v>4528.87</v>
      </c>
      <c r="K407" s="330">
        <v>4528.87</v>
      </c>
      <c r="L407" s="1159"/>
      <c r="M407" s="1155"/>
      <c r="N407" s="1161"/>
      <c r="O407" s="1161"/>
      <c r="P407" s="1161"/>
      <c r="Q407" s="838"/>
      <c r="R407" s="839"/>
      <c r="S407" s="1155"/>
      <c r="T407" s="1155"/>
    </row>
    <row r="408" spans="1:20" ht="21.75" customHeight="1">
      <c r="A408" s="1134"/>
      <c r="B408" s="1134"/>
      <c r="C408" s="1137"/>
      <c r="D408" s="1138"/>
      <c r="E408" s="1137"/>
      <c r="F408" s="1138"/>
      <c r="G408" s="397"/>
      <c r="H408" s="328">
        <v>22526.1</v>
      </c>
      <c r="I408" s="329">
        <v>22526.1</v>
      </c>
      <c r="J408" s="329">
        <v>2502.9</v>
      </c>
      <c r="K408" s="330">
        <v>2502.9</v>
      </c>
      <c r="L408" s="1159"/>
      <c r="M408" s="1155"/>
      <c r="N408" s="1161"/>
      <c r="O408" s="1161"/>
      <c r="P408" s="1161"/>
      <c r="Q408" s="838"/>
      <c r="R408" s="839"/>
      <c r="S408" s="1155"/>
      <c r="T408" s="1155"/>
    </row>
    <row r="409" spans="1:20" ht="21.75" customHeight="1">
      <c r="A409" s="1134"/>
      <c r="B409" s="1134"/>
      <c r="C409" s="1137"/>
      <c r="D409" s="1138"/>
      <c r="E409" s="1137"/>
      <c r="F409" s="1138"/>
      <c r="G409" s="397"/>
      <c r="H409" s="328">
        <v>60211.35</v>
      </c>
      <c r="I409" s="329">
        <v>60211.35</v>
      </c>
      <c r="J409" s="329">
        <v>6690.16</v>
      </c>
      <c r="K409" s="330">
        <v>6690.15</v>
      </c>
      <c r="L409" s="1159"/>
      <c r="M409" s="1155"/>
      <c r="N409" s="1161"/>
      <c r="O409" s="1161"/>
      <c r="P409" s="1161"/>
      <c r="Q409" s="838"/>
      <c r="R409" s="839"/>
      <c r="S409" s="1155"/>
      <c r="T409" s="1155"/>
    </row>
    <row r="410" spans="1:20" ht="21.75" customHeight="1" thickBot="1">
      <c r="A410" s="1090"/>
      <c r="B410" s="1090"/>
      <c r="C410" s="1139"/>
      <c r="D410" s="1140"/>
      <c r="E410" s="1139"/>
      <c r="F410" s="1140"/>
      <c r="G410" s="396"/>
      <c r="H410" s="875">
        <v>7508.7</v>
      </c>
      <c r="I410" s="876">
        <v>7508.7</v>
      </c>
      <c r="J410" s="876">
        <v>834.3</v>
      </c>
      <c r="K410" s="877">
        <v>834.3</v>
      </c>
      <c r="L410" s="1113"/>
      <c r="M410" s="1108"/>
      <c r="N410" s="1126"/>
      <c r="O410" s="1126"/>
      <c r="P410" s="1126"/>
      <c r="Q410" s="842"/>
      <c r="R410" s="841"/>
      <c r="S410" s="1108"/>
      <c r="T410" s="1108"/>
    </row>
    <row r="411" spans="1:20" ht="24" customHeight="1">
      <c r="A411" s="1133" t="s">
        <v>183</v>
      </c>
      <c r="B411" s="1133" t="s">
        <v>184</v>
      </c>
      <c r="C411" s="261">
        <f>178951*2</f>
        <v>357902</v>
      </c>
      <c r="D411" s="193">
        <f>31579.5*2</f>
        <v>63159</v>
      </c>
      <c r="E411" s="261">
        <v>357902</v>
      </c>
      <c r="F411" s="193">
        <v>63159</v>
      </c>
      <c r="G411" s="370">
        <v>421061</v>
      </c>
      <c r="H411" s="318">
        <v>43921.63</v>
      </c>
      <c r="I411" s="319">
        <v>43921.63</v>
      </c>
      <c r="J411" s="319">
        <v>7750.88</v>
      </c>
      <c r="K411" s="320">
        <v>7750.88</v>
      </c>
      <c r="L411" s="1158">
        <f>SUM(H411:K416)</f>
        <v>400007.95000000007</v>
      </c>
      <c r="M411" s="1154">
        <f>L411/E412*100</f>
        <v>95.00000000000001</v>
      </c>
      <c r="N411" s="1160">
        <f>96693+13984+84883</f>
        <v>195560</v>
      </c>
      <c r="O411" s="1160">
        <f>N411/E411*100</f>
        <v>54.64065582198479</v>
      </c>
      <c r="P411" s="1160">
        <f>41337*2+1941+1940+5069+5069+6992*2</f>
        <v>110677</v>
      </c>
      <c r="Q411" s="1083">
        <f>P411/E411*100</f>
        <v>30.92382831054311</v>
      </c>
      <c r="R411" s="840">
        <f>E411+F411</f>
        <v>421061</v>
      </c>
      <c r="S411" s="1154">
        <f>P411/E411*100</f>
        <v>30.92382831054311</v>
      </c>
      <c r="T411" s="1154">
        <f>N411/SUM(H411:I416)*100</f>
        <v>57.516479812615565</v>
      </c>
    </row>
    <row r="412" spans="1:20" ht="23.25" customHeight="1" thickBot="1">
      <c r="A412" s="1134"/>
      <c r="B412" s="1134"/>
      <c r="C412" s="1135">
        <f>C411+D411</f>
        <v>421061</v>
      </c>
      <c r="D412" s="1136"/>
      <c r="E412" s="1135">
        <v>421061</v>
      </c>
      <c r="F412" s="1136"/>
      <c r="G412" s="388">
        <v>421061</v>
      </c>
      <c r="H412" s="328">
        <v>32883.53</v>
      </c>
      <c r="I412" s="329">
        <v>32883.53</v>
      </c>
      <c r="J412" s="329">
        <v>5802.98</v>
      </c>
      <c r="K412" s="330">
        <v>5802.98</v>
      </c>
      <c r="L412" s="1159"/>
      <c r="M412" s="1155"/>
      <c r="N412" s="1161"/>
      <c r="O412" s="1161"/>
      <c r="P412" s="1161"/>
      <c r="Q412" s="1085"/>
      <c r="R412" s="839">
        <f>E412</f>
        <v>421061</v>
      </c>
      <c r="S412" s="1155"/>
      <c r="T412" s="1155"/>
    </row>
    <row r="413" spans="1:20" ht="20.25" customHeight="1">
      <c r="A413" s="1134"/>
      <c r="B413" s="1134"/>
      <c r="C413" s="1137"/>
      <c r="D413" s="1138"/>
      <c r="E413" s="1137"/>
      <c r="F413" s="1138"/>
      <c r="G413" s="382"/>
      <c r="H413" s="328">
        <v>4699.14</v>
      </c>
      <c r="I413" s="329">
        <v>4699.14</v>
      </c>
      <c r="J413" s="329">
        <v>829.27</v>
      </c>
      <c r="K413" s="330">
        <v>829.26</v>
      </c>
      <c r="L413" s="1159"/>
      <c r="M413" s="1155"/>
      <c r="N413" s="1161"/>
      <c r="O413" s="1161"/>
      <c r="P413" s="1161"/>
      <c r="Q413" s="838"/>
      <c r="R413" s="839"/>
      <c r="S413" s="1155"/>
      <c r="T413" s="1155"/>
    </row>
    <row r="414" spans="1:20" ht="21" customHeight="1">
      <c r="A414" s="1134"/>
      <c r="B414" s="1134"/>
      <c r="C414" s="1137"/>
      <c r="D414" s="1138"/>
      <c r="E414" s="1137"/>
      <c r="F414" s="1138"/>
      <c r="G414" s="382"/>
      <c r="H414" s="328">
        <v>38421.67</v>
      </c>
      <c r="I414" s="329">
        <v>38421.67</v>
      </c>
      <c r="J414" s="329">
        <v>6780.3</v>
      </c>
      <c r="K414" s="330">
        <v>6780.29</v>
      </c>
      <c r="L414" s="1159"/>
      <c r="M414" s="1155"/>
      <c r="N414" s="1161"/>
      <c r="O414" s="1161"/>
      <c r="P414" s="1161"/>
      <c r="Q414" s="838"/>
      <c r="R414" s="839"/>
      <c r="S414" s="1155"/>
      <c r="T414" s="1155"/>
    </row>
    <row r="415" spans="1:20" ht="21" customHeight="1">
      <c r="A415" s="1134"/>
      <c r="B415" s="1134"/>
      <c r="C415" s="1137"/>
      <c r="D415" s="1138"/>
      <c r="E415" s="1137"/>
      <c r="F415" s="1138"/>
      <c r="G415" s="382"/>
      <c r="H415" s="328">
        <v>7001.52</v>
      </c>
      <c r="I415" s="329">
        <v>7001.52</v>
      </c>
      <c r="J415" s="329">
        <v>1235.57</v>
      </c>
      <c r="K415" s="330">
        <v>1235.56</v>
      </c>
      <c r="L415" s="1159"/>
      <c r="M415" s="1155"/>
      <c r="N415" s="1161"/>
      <c r="O415" s="1161"/>
      <c r="P415" s="1161"/>
      <c r="Q415" s="838"/>
      <c r="R415" s="839"/>
      <c r="S415" s="1155"/>
      <c r="T415" s="1155"/>
    </row>
    <row r="416" spans="1:20" ht="21" customHeight="1" thickBot="1">
      <c r="A416" s="1090"/>
      <c r="B416" s="1090"/>
      <c r="C416" s="1139"/>
      <c r="D416" s="1140"/>
      <c r="E416" s="1139"/>
      <c r="F416" s="1140"/>
      <c r="G416" s="388"/>
      <c r="H416" s="875">
        <v>43075.96</v>
      </c>
      <c r="I416" s="876">
        <v>43075.96</v>
      </c>
      <c r="J416" s="876">
        <v>7601.53</v>
      </c>
      <c r="K416" s="877">
        <v>7601.55</v>
      </c>
      <c r="L416" s="1113"/>
      <c r="M416" s="1108"/>
      <c r="N416" s="1126"/>
      <c r="O416" s="1126"/>
      <c r="P416" s="1126"/>
      <c r="Q416" s="842"/>
      <c r="R416" s="841"/>
      <c r="S416" s="1108"/>
      <c r="T416" s="1108"/>
    </row>
    <row r="417" spans="1:20" ht="27" customHeight="1">
      <c r="A417" s="1134" t="s">
        <v>49</v>
      </c>
      <c r="B417" s="1134" t="s">
        <v>189</v>
      </c>
      <c r="C417" s="272">
        <f>198085+198086</f>
        <v>396171</v>
      </c>
      <c r="D417" s="271">
        <f>34956*2</f>
        <v>69912</v>
      </c>
      <c r="E417" s="272">
        <v>396171</v>
      </c>
      <c r="F417" s="271">
        <v>69912</v>
      </c>
      <c r="G417" s="371">
        <v>466083</v>
      </c>
      <c r="H417" s="878">
        <v>4250</v>
      </c>
      <c r="I417" s="879">
        <v>4250</v>
      </c>
      <c r="J417" s="879">
        <v>750</v>
      </c>
      <c r="K417" s="880">
        <v>750</v>
      </c>
      <c r="L417" s="1159">
        <f>SUM(H417:K422)</f>
        <v>442778.85000000003</v>
      </c>
      <c r="M417" s="1155">
        <f>L417/E418*100</f>
        <v>95</v>
      </c>
      <c r="N417" s="1161">
        <f>275*2+1799+113538+21635+21634</f>
        <v>159156</v>
      </c>
      <c r="O417" s="1161">
        <f>N417/E417*100</f>
        <v>40.17356141666099</v>
      </c>
      <c r="P417" s="1161">
        <f>275*2+899+900+56769*2+21635+21634</f>
        <v>159156</v>
      </c>
      <c r="Q417" s="1028">
        <f>P417/E417*100</f>
        <v>40.17356141666099</v>
      </c>
      <c r="R417" s="779">
        <f>E417+F417</f>
        <v>466083</v>
      </c>
      <c r="S417" s="1155">
        <f>P417/E417*100</f>
        <v>40.17356141666099</v>
      </c>
      <c r="T417" s="1155">
        <f>N417/SUM(H417:I422)*100</f>
        <v>42.287959385958935</v>
      </c>
    </row>
    <row r="418" spans="1:20" ht="21.75" customHeight="1" thickBot="1">
      <c r="A418" s="1134"/>
      <c r="B418" s="1134"/>
      <c r="C418" s="1135">
        <f>C417+D417</f>
        <v>466083</v>
      </c>
      <c r="D418" s="1136"/>
      <c r="E418" s="1135">
        <v>466083</v>
      </c>
      <c r="F418" s="1136"/>
      <c r="G418" s="388">
        <v>466083</v>
      </c>
      <c r="H418" s="328">
        <v>57375</v>
      </c>
      <c r="I418" s="329">
        <v>57375</v>
      </c>
      <c r="J418" s="329">
        <v>10125</v>
      </c>
      <c r="K418" s="330">
        <v>10125</v>
      </c>
      <c r="L418" s="1159"/>
      <c r="M418" s="1155"/>
      <c r="N418" s="1161"/>
      <c r="O418" s="1161"/>
      <c r="P418" s="1161"/>
      <c r="Q418" s="1085"/>
      <c r="R418" s="779">
        <f>E418</f>
        <v>466083</v>
      </c>
      <c r="S418" s="1155"/>
      <c r="T418" s="1155"/>
    </row>
    <row r="419" spans="1:20" ht="21.75" customHeight="1">
      <c r="A419" s="1134"/>
      <c r="B419" s="1134"/>
      <c r="C419" s="1137"/>
      <c r="D419" s="1138"/>
      <c r="E419" s="1137"/>
      <c r="F419" s="1138"/>
      <c r="G419" s="382"/>
      <c r="H419" s="328">
        <v>17883.87</v>
      </c>
      <c r="I419" s="329">
        <v>17883.87</v>
      </c>
      <c r="J419" s="329">
        <v>3155.98</v>
      </c>
      <c r="K419" s="330">
        <v>3155.98</v>
      </c>
      <c r="L419" s="1159"/>
      <c r="M419" s="1155"/>
      <c r="N419" s="1161"/>
      <c r="O419" s="1161"/>
      <c r="P419" s="1161"/>
      <c r="Q419" s="838"/>
      <c r="R419" s="779"/>
      <c r="S419" s="1155"/>
      <c r="T419" s="1155"/>
    </row>
    <row r="420" spans="1:20" ht="21.75" customHeight="1">
      <c r="A420" s="1134"/>
      <c r="B420" s="1134"/>
      <c r="C420" s="1137"/>
      <c r="D420" s="1138"/>
      <c r="E420" s="1137"/>
      <c r="F420" s="1138"/>
      <c r="G420" s="382"/>
      <c r="H420" s="328">
        <v>899.07</v>
      </c>
      <c r="I420" s="329">
        <v>899.07</v>
      </c>
      <c r="J420" s="329">
        <v>158.66</v>
      </c>
      <c r="K420" s="330">
        <v>158.66</v>
      </c>
      <c r="L420" s="1159"/>
      <c r="M420" s="1155"/>
      <c r="N420" s="1161"/>
      <c r="O420" s="1161"/>
      <c r="P420" s="1161"/>
      <c r="Q420" s="838"/>
      <c r="R420" s="779"/>
      <c r="S420" s="1155"/>
      <c r="T420" s="1155"/>
    </row>
    <row r="421" spans="1:20" ht="21.75" customHeight="1">
      <c r="A421" s="1134"/>
      <c r="B421" s="1134"/>
      <c r="C421" s="1137"/>
      <c r="D421" s="1138"/>
      <c r="E421" s="1137"/>
      <c r="F421" s="1138"/>
      <c r="G421" s="382"/>
      <c r="H421" s="328">
        <v>56769.2</v>
      </c>
      <c r="I421" s="329">
        <v>56769.2</v>
      </c>
      <c r="J421" s="329">
        <v>10018.11</v>
      </c>
      <c r="K421" s="330">
        <v>10018.1</v>
      </c>
      <c r="L421" s="1159"/>
      <c r="M421" s="1155"/>
      <c r="N421" s="1161"/>
      <c r="O421" s="1161"/>
      <c r="P421" s="1161"/>
      <c r="Q421" s="838"/>
      <c r="R421" s="779"/>
      <c r="S421" s="1155"/>
      <c r="T421" s="1155"/>
    </row>
    <row r="422" spans="1:20" ht="21.75" customHeight="1" thickBot="1">
      <c r="A422" s="1090"/>
      <c r="B422" s="1090"/>
      <c r="C422" s="1139"/>
      <c r="D422" s="1140"/>
      <c r="E422" s="1139"/>
      <c r="F422" s="1140"/>
      <c r="G422" s="382"/>
      <c r="H422" s="710">
        <v>51004.56</v>
      </c>
      <c r="I422" s="711">
        <v>51003.61</v>
      </c>
      <c r="J422" s="711">
        <v>9000.45</v>
      </c>
      <c r="K422" s="712">
        <v>9000.46</v>
      </c>
      <c r="L422" s="1113"/>
      <c r="M422" s="1108"/>
      <c r="N422" s="1126"/>
      <c r="O422" s="1126"/>
      <c r="P422" s="1126"/>
      <c r="Q422" s="838"/>
      <c r="R422" s="779"/>
      <c r="S422" s="1108"/>
      <c r="T422" s="1108"/>
    </row>
    <row r="423" spans="1:20" ht="16.5" customHeight="1">
      <c r="A423" s="1133" t="s">
        <v>207</v>
      </c>
      <c r="B423" s="1133" t="s">
        <v>208</v>
      </c>
      <c r="C423" s="270">
        <f>923517+923516</f>
        <v>1847033</v>
      </c>
      <c r="D423" s="290">
        <f>162973.5*2</f>
        <v>325947</v>
      </c>
      <c r="E423" s="270">
        <v>1847033</v>
      </c>
      <c r="F423" s="193">
        <v>325947</v>
      </c>
      <c r="G423" s="370">
        <v>2172980</v>
      </c>
      <c r="H423" s="318">
        <v>14038.98</v>
      </c>
      <c r="I423" s="319">
        <v>14038.98</v>
      </c>
      <c r="J423" s="319">
        <v>2477.47</v>
      </c>
      <c r="K423" s="320">
        <v>2477.47</v>
      </c>
      <c r="L423" s="1158">
        <f>SUM(H423:K431)</f>
        <v>2171138.4499999997</v>
      </c>
      <c r="M423" s="1154">
        <f>L423/E424*100</f>
        <v>99.91525232629843</v>
      </c>
      <c r="N423" s="1160">
        <v>1845468</v>
      </c>
      <c r="O423" s="1160">
        <f>N423/E423*100</f>
        <v>99.91526951602923</v>
      </c>
      <c r="P423" s="1160">
        <f>1722222+7298+7299+54325+54324</f>
        <v>1845468</v>
      </c>
      <c r="Q423" s="846">
        <v>2477.47</v>
      </c>
      <c r="R423" s="840">
        <f>E423+F423</f>
        <v>2172980</v>
      </c>
      <c r="S423" s="1154">
        <f>P423/E423*100</f>
        <v>99.91526951602923</v>
      </c>
      <c r="T423" s="1154">
        <f>N423/SUM(H423:I431)*100</f>
        <v>100.00001950725077</v>
      </c>
    </row>
    <row r="424" spans="1:20" ht="16.5" customHeight="1">
      <c r="A424" s="1134"/>
      <c r="B424" s="1134"/>
      <c r="C424" s="1135">
        <f>C423+D423</f>
        <v>2172980</v>
      </c>
      <c r="D424" s="1136"/>
      <c r="E424" s="1135">
        <v>2172980</v>
      </c>
      <c r="F424" s="1136"/>
      <c r="G424" s="1091">
        <v>2172980</v>
      </c>
      <c r="H424" s="710">
        <v>78891.28</v>
      </c>
      <c r="I424" s="711">
        <v>78891.28</v>
      </c>
      <c r="J424" s="711">
        <v>13922</v>
      </c>
      <c r="K424" s="712">
        <v>13921.99</v>
      </c>
      <c r="L424" s="1159"/>
      <c r="M424" s="1155"/>
      <c r="N424" s="1161"/>
      <c r="O424" s="1161"/>
      <c r="P424" s="1161"/>
      <c r="Q424" s="838"/>
      <c r="R424" s="839"/>
      <c r="S424" s="1155"/>
      <c r="T424" s="1155"/>
    </row>
    <row r="425" spans="1:20" ht="16.5" customHeight="1">
      <c r="A425" s="1134"/>
      <c r="B425" s="1134"/>
      <c r="C425" s="1137"/>
      <c r="D425" s="1138"/>
      <c r="E425" s="1137"/>
      <c r="F425" s="1138"/>
      <c r="G425" s="1092"/>
      <c r="H425" s="328">
        <v>143061.15</v>
      </c>
      <c r="I425" s="329">
        <v>143061.15</v>
      </c>
      <c r="J425" s="329">
        <v>25246.09</v>
      </c>
      <c r="K425" s="330">
        <v>25246.08</v>
      </c>
      <c r="L425" s="1159"/>
      <c r="M425" s="1155"/>
      <c r="N425" s="1161"/>
      <c r="O425" s="1161"/>
      <c r="P425" s="1161"/>
      <c r="Q425" s="838"/>
      <c r="R425" s="839"/>
      <c r="S425" s="1155"/>
      <c r="T425" s="1155"/>
    </row>
    <row r="426" spans="1:20" ht="16.5" customHeight="1">
      <c r="A426" s="1134"/>
      <c r="B426" s="1134"/>
      <c r="C426" s="1137"/>
      <c r="D426" s="1138"/>
      <c r="E426" s="1137"/>
      <c r="F426" s="1138"/>
      <c r="G426" s="1092"/>
      <c r="H426" s="328">
        <v>69966.19</v>
      </c>
      <c r="I426" s="329">
        <v>69966.19</v>
      </c>
      <c r="J426" s="329">
        <v>12346.98</v>
      </c>
      <c r="K426" s="330">
        <v>12346.98</v>
      </c>
      <c r="L426" s="1159"/>
      <c r="M426" s="1155"/>
      <c r="N426" s="1161"/>
      <c r="O426" s="1161"/>
      <c r="P426" s="1161"/>
      <c r="Q426" s="838"/>
      <c r="R426" s="839"/>
      <c r="S426" s="1155"/>
      <c r="T426" s="1155"/>
    </row>
    <row r="427" spans="1:20" ht="16.5" customHeight="1">
      <c r="A427" s="1134"/>
      <c r="B427" s="1134"/>
      <c r="C427" s="1137"/>
      <c r="D427" s="1138"/>
      <c r="E427" s="1137"/>
      <c r="F427" s="1138"/>
      <c r="G427" s="1092"/>
      <c r="H427" s="328">
        <v>95531.58</v>
      </c>
      <c r="I427" s="329">
        <v>95531.58</v>
      </c>
      <c r="J427" s="329">
        <v>16858.52</v>
      </c>
      <c r="K427" s="330">
        <v>16858.51</v>
      </c>
      <c r="L427" s="1159"/>
      <c r="M427" s="1155"/>
      <c r="N427" s="1161"/>
      <c r="O427" s="1161"/>
      <c r="P427" s="1161"/>
      <c r="Q427" s="838"/>
      <c r="R427" s="839"/>
      <c r="S427" s="1155"/>
      <c r="T427" s="1155"/>
    </row>
    <row r="428" spans="1:20" ht="16.5" customHeight="1" thickBot="1">
      <c r="A428" s="1134"/>
      <c r="B428" s="1134"/>
      <c r="C428" s="1137"/>
      <c r="D428" s="1138"/>
      <c r="E428" s="1137"/>
      <c r="F428" s="1138"/>
      <c r="G428" s="1081"/>
      <c r="H428" s="328">
        <v>57850.88</v>
      </c>
      <c r="I428" s="329">
        <v>57850.88</v>
      </c>
      <c r="J428" s="329">
        <v>10208.98</v>
      </c>
      <c r="K428" s="330">
        <v>10208.98</v>
      </c>
      <c r="L428" s="1159"/>
      <c r="M428" s="1155"/>
      <c r="N428" s="1161"/>
      <c r="O428" s="1161"/>
      <c r="P428" s="1161"/>
      <c r="Q428" s="838"/>
      <c r="R428" s="839">
        <f>E424</f>
        <v>2172980</v>
      </c>
      <c r="S428" s="1155"/>
      <c r="T428" s="1155"/>
    </row>
    <row r="429" spans="1:20" ht="16.5" customHeight="1">
      <c r="A429" s="1134"/>
      <c r="B429" s="1134"/>
      <c r="C429" s="1137"/>
      <c r="D429" s="1138"/>
      <c r="E429" s="1137"/>
      <c r="F429" s="1138"/>
      <c r="G429" s="391"/>
      <c r="H429" s="328">
        <v>187822.18</v>
      </c>
      <c r="I429" s="329">
        <v>187822.18</v>
      </c>
      <c r="J429" s="329">
        <v>33145.09</v>
      </c>
      <c r="K429" s="330">
        <v>33145.09</v>
      </c>
      <c r="L429" s="1159"/>
      <c r="M429" s="1155"/>
      <c r="N429" s="1161"/>
      <c r="O429" s="1161"/>
      <c r="P429" s="1161"/>
      <c r="Q429" s="838"/>
      <c r="R429" s="839"/>
      <c r="S429" s="1155"/>
      <c r="T429" s="1155"/>
    </row>
    <row r="430" spans="1:20" ht="16.5" customHeight="1" thickBot="1">
      <c r="A430" s="1134"/>
      <c r="B430" s="1134"/>
      <c r="C430" s="1137"/>
      <c r="D430" s="1138"/>
      <c r="E430" s="1137"/>
      <c r="F430" s="1138"/>
      <c r="G430" s="400"/>
      <c r="H430" s="328">
        <v>230178.42</v>
      </c>
      <c r="I430" s="329">
        <v>230178.42</v>
      </c>
      <c r="J430" s="329">
        <v>40619.73</v>
      </c>
      <c r="K430" s="330">
        <v>40619.72</v>
      </c>
      <c r="L430" s="1159"/>
      <c r="M430" s="1155"/>
      <c r="N430" s="1161"/>
      <c r="O430" s="1161"/>
      <c r="P430" s="1161"/>
      <c r="Q430" s="842"/>
      <c r="R430" s="841"/>
      <c r="S430" s="1155"/>
      <c r="T430" s="1155"/>
    </row>
    <row r="431" spans="1:20" ht="16.5" customHeight="1" thickBot="1">
      <c r="A431" s="1128"/>
      <c r="B431" s="1128"/>
      <c r="C431" s="1146"/>
      <c r="D431" s="1147"/>
      <c r="E431" s="1146"/>
      <c r="F431" s="1147"/>
      <c r="G431" s="391"/>
      <c r="H431" s="710">
        <v>45393.16</v>
      </c>
      <c r="I431" s="711">
        <v>45393.16</v>
      </c>
      <c r="J431" s="711">
        <v>8010.55</v>
      </c>
      <c r="K431" s="712">
        <v>8010.58</v>
      </c>
      <c r="L431" s="1157"/>
      <c r="M431" s="1157"/>
      <c r="N431" s="1132"/>
      <c r="O431" s="1157"/>
      <c r="P431" s="1157"/>
      <c r="Q431" s="838"/>
      <c r="R431" s="839"/>
      <c r="S431" s="1157"/>
      <c r="T431" s="1157"/>
    </row>
    <row r="432" spans="1:20" ht="14.25" customHeight="1">
      <c r="A432" s="1133" t="s">
        <v>161</v>
      </c>
      <c r="B432" s="1133" t="s">
        <v>295</v>
      </c>
      <c r="C432" s="270">
        <f>745640+745639</f>
        <v>1491279</v>
      </c>
      <c r="D432" s="193">
        <f>131583.5*2</f>
        <v>263167</v>
      </c>
      <c r="E432" s="261">
        <v>1491279</v>
      </c>
      <c r="F432" s="193">
        <v>263167</v>
      </c>
      <c r="G432" s="370">
        <v>1754446</v>
      </c>
      <c r="H432" s="318">
        <v>83563.67</v>
      </c>
      <c r="I432" s="319">
        <v>83563.67</v>
      </c>
      <c r="J432" s="319">
        <v>14746.54</v>
      </c>
      <c r="K432" s="320">
        <v>14746.53</v>
      </c>
      <c r="L432" s="1158">
        <f>SUM(H432:K435)</f>
        <v>1666723.7000000004</v>
      </c>
      <c r="M432" s="1154">
        <f>L432/E433*100</f>
        <v>95.00000000000003</v>
      </c>
      <c r="N432" s="1160">
        <f>655321+189166+189167</f>
        <v>1033654</v>
      </c>
      <c r="O432" s="1160">
        <f>N432/E432*100</f>
        <v>69.31325392498654</v>
      </c>
      <c r="P432" s="1160">
        <f>327660+327661+189167+189166</f>
        <v>1033654</v>
      </c>
      <c r="Q432" s="846"/>
      <c r="R432" s="840">
        <f>E432+F432</f>
        <v>1754446</v>
      </c>
      <c r="S432" s="1160">
        <f>327660+327661</f>
        <v>655321</v>
      </c>
      <c r="T432" s="1154">
        <f>S432/SUM(H432:I435)*100</f>
        <v>46.256373149985244</v>
      </c>
    </row>
    <row r="433" spans="1:20" ht="14.25" customHeight="1" thickBot="1">
      <c r="A433" s="1134"/>
      <c r="B433" s="1134"/>
      <c r="C433" s="1135">
        <f>C432+D432</f>
        <v>1754446</v>
      </c>
      <c r="D433" s="1136"/>
      <c r="E433" s="1135">
        <v>1754446</v>
      </c>
      <c r="F433" s="1136"/>
      <c r="G433" s="385">
        <v>1754446</v>
      </c>
      <c r="H433" s="328">
        <v>244096.74</v>
      </c>
      <c r="I433" s="329">
        <v>244096.74</v>
      </c>
      <c r="J433" s="329">
        <v>43075.89</v>
      </c>
      <c r="K433" s="330">
        <v>43075.89</v>
      </c>
      <c r="L433" s="1159"/>
      <c r="M433" s="1155"/>
      <c r="N433" s="1161"/>
      <c r="O433" s="1161"/>
      <c r="P433" s="1161"/>
      <c r="Q433" s="842"/>
      <c r="R433" s="841">
        <f>E433</f>
        <v>1754446</v>
      </c>
      <c r="S433" s="1161"/>
      <c r="T433" s="1155"/>
    </row>
    <row r="434" spans="1:20" ht="14.25" customHeight="1">
      <c r="A434" s="1134"/>
      <c r="B434" s="1134"/>
      <c r="C434" s="1137"/>
      <c r="D434" s="1138"/>
      <c r="E434" s="1137"/>
      <c r="F434" s="1138"/>
      <c r="G434" s="382"/>
      <c r="H434" s="328">
        <v>189166.55</v>
      </c>
      <c r="I434" s="329">
        <v>189166.55</v>
      </c>
      <c r="J434" s="329">
        <v>33382.34</v>
      </c>
      <c r="K434" s="330">
        <v>33382.33</v>
      </c>
      <c r="L434" s="1159"/>
      <c r="M434" s="1155"/>
      <c r="N434" s="1161"/>
      <c r="O434" s="1161"/>
      <c r="P434" s="1161"/>
      <c r="Q434" s="838"/>
      <c r="R434" s="839"/>
      <c r="S434" s="1161"/>
      <c r="T434" s="1155"/>
    </row>
    <row r="435" spans="1:20" ht="14.25" customHeight="1" thickBot="1">
      <c r="A435" s="1128"/>
      <c r="B435" s="1128"/>
      <c r="C435" s="1146"/>
      <c r="D435" s="1147"/>
      <c r="E435" s="1146"/>
      <c r="F435" s="1147"/>
      <c r="G435" s="382"/>
      <c r="H435" s="774">
        <v>191531.04</v>
      </c>
      <c r="I435" s="775">
        <v>191530.09</v>
      </c>
      <c r="J435" s="775">
        <v>33799.56</v>
      </c>
      <c r="K435" s="874">
        <v>33799.57</v>
      </c>
      <c r="L435" s="1157"/>
      <c r="M435" s="1157"/>
      <c r="N435" s="1132"/>
      <c r="O435" s="1157"/>
      <c r="P435" s="1157"/>
      <c r="Q435" s="838"/>
      <c r="R435" s="839"/>
      <c r="S435" s="1157"/>
      <c r="T435" s="1157"/>
    </row>
    <row r="436" spans="1:20" ht="12.75" customHeight="1">
      <c r="A436" s="1133" t="s">
        <v>61</v>
      </c>
      <c r="B436" s="1133" t="s">
        <v>196</v>
      </c>
      <c r="C436" s="192">
        <f>303761+303760</f>
        <v>607521</v>
      </c>
      <c r="D436" s="271">
        <f>53604.5*2</f>
        <v>107209</v>
      </c>
      <c r="E436" s="272">
        <v>607521</v>
      </c>
      <c r="F436" s="271">
        <v>107209</v>
      </c>
      <c r="G436" s="371">
        <v>714730</v>
      </c>
      <c r="H436" s="878">
        <v>218.55</v>
      </c>
      <c r="I436" s="879">
        <v>218.55</v>
      </c>
      <c r="J436" s="879">
        <v>38.58</v>
      </c>
      <c r="K436" s="880">
        <v>38.57</v>
      </c>
      <c r="L436" s="1158">
        <f>SUM(H436:K451)</f>
        <v>541954.5299999999</v>
      </c>
      <c r="M436" s="1154">
        <f>L436/E437*100</f>
        <v>75.82647013557566</v>
      </c>
      <c r="N436" s="1160">
        <f>28212+18437*2+13462+15040*2</f>
        <v>108628</v>
      </c>
      <c r="O436" s="1160">
        <f>N436/E436*100</f>
        <v>17.880534170835247</v>
      </c>
      <c r="P436" s="1160">
        <f>65086+6731*2+15040*2</f>
        <v>108628</v>
      </c>
      <c r="Q436" s="1028">
        <f>P436/E436*100</f>
        <v>17.880534170835247</v>
      </c>
      <c r="R436" s="779">
        <f>E436+F436</f>
        <v>714730</v>
      </c>
      <c r="S436" s="1154">
        <f>P436/E436*100</f>
        <v>17.880534170835247</v>
      </c>
      <c r="T436" s="1154">
        <f>N436/SUM(H436:I451)*100</f>
        <v>23.580884574491893</v>
      </c>
    </row>
    <row r="437" spans="1:20" ht="13.5" thickBot="1">
      <c r="A437" s="1134"/>
      <c r="B437" s="1134"/>
      <c r="C437" s="1135">
        <f>C436+D436</f>
        <v>714730</v>
      </c>
      <c r="D437" s="1136"/>
      <c r="E437" s="1135">
        <v>714730</v>
      </c>
      <c r="F437" s="1136"/>
      <c r="G437" s="1091">
        <v>714730</v>
      </c>
      <c r="H437" s="328">
        <v>1062.07</v>
      </c>
      <c r="I437" s="329">
        <v>1062.07</v>
      </c>
      <c r="J437" s="329">
        <v>187.43</v>
      </c>
      <c r="K437" s="330">
        <v>187.43</v>
      </c>
      <c r="L437" s="1159"/>
      <c r="M437" s="1155"/>
      <c r="N437" s="1161"/>
      <c r="O437" s="1161"/>
      <c r="P437" s="1161"/>
      <c r="Q437" s="1085"/>
      <c r="R437" s="779"/>
      <c r="S437" s="1155"/>
      <c r="T437" s="1155"/>
    </row>
    <row r="438" spans="1:20" ht="12.75">
      <c r="A438" s="1134"/>
      <c r="B438" s="1134"/>
      <c r="C438" s="1137"/>
      <c r="D438" s="1138"/>
      <c r="E438" s="1137"/>
      <c r="F438" s="1138"/>
      <c r="G438" s="1092"/>
      <c r="H438" s="328">
        <v>29.63</v>
      </c>
      <c r="I438" s="329">
        <v>29.63</v>
      </c>
      <c r="J438" s="329">
        <v>5.24</v>
      </c>
      <c r="K438" s="330">
        <v>5.23</v>
      </c>
      <c r="L438" s="1159"/>
      <c r="M438" s="1155"/>
      <c r="N438" s="1161"/>
      <c r="O438" s="1161"/>
      <c r="P438" s="1161"/>
      <c r="Q438" s="838"/>
      <c r="R438" s="779"/>
      <c r="S438" s="1155"/>
      <c r="T438" s="1155"/>
    </row>
    <row r="439" spans="1:20" ht="12.75">
      <c r="A439" s="1134"/>
      <c r="B439" s="1134"/>
      <c r="C439" s="1137"/>
      <c r="D439" s="1138"/>
      <c r="E439" s="1137"/>
      <c r="F439" s="1138"/>
      <c r="G439" s="1092"/>
      <c r="H439" s="328">
        <v>4282.96</v>
      </c>
      <c r="I439" s="329">
        <v>4282.96</v>
      </c>
      <c r="J439" s="329">
        <v>755.82</v>
      </c>
      <c r="K439" s="330">
        <v>755.82</v>
      </c>
      <c r="L439" s="1159"/>
      <c r="M439" s="1155"/>
      <c r="N439" s="1161"/>
      <c r="O439" s="1161"/>
      <c r="P439" s="1161"/>
      <c r="Q439" s="838"/>
      <c r="R439" s="779"/>
      <c r="S439" s="1155"/>
      <c r="T439" s="1155"/>
    </row>
    <row r="440" spans="1:20" ht="12.75">
      <c r="A440" s="1134"/>
      <c r="B440" s="1134"/>
      <c r="C440" s="1137"/>
      <c r="D440" s="1138"/>
      <c r="E440" s="1137"/>
      <c r="F440" s="1138"/>
      <c r="G440" s="1092"/>
      <c r="H440" s="328">
        <v>10991.88</v>
      </c>
      <c r="I440" s="329">
        <v>10991.88</v>
      </c>
      <c r="J440" s="329">
        <v>1939.74</v>
      </c>
      <c r="K440" s="330">
        <v>1939.74</v>
      </c>
      <c r="L440" s="1159"/>
      <c r="M440" s="1155"/>
      <c r="N440" s="1161"/>
      <c r="O440" s="1161"/>
      <c r="P440" s="1161"/>
      <c r="Q440" s="838"/>
      <c r="R440" s="779"/>
      <c r="S440" s="1155"/>
      <c r="T440" s="1155"/>
    </row>
    <row r="441" spans="1:20" ht="13.5" thickBot="1">
      <c r="A441" s="1134"/>
      <c r="B441" s="1134"/>
      <c r="C441" s="1137"/>
      <c r="D441" s="1138"/>
      <c r="E441" s="1137"/>
      <c r="F441" s="1138"/>
      <c r="G441" s="1081"/>
      <c r="H441" s="328">
        <v>95.61</v>
      </c>
      <c r="I441" s="329">
        <v>95.61</v>
      </c>
      <c r="J441" s="329">
        <v>16.87</v>
      </c>
      <c r="K441" s="330">
        <v>16.87</v>
      </c>
      <c r="L441" s="1159"/>
      <c r="M441" s="1155"/>
      <c r="N441" s="1161"/>
      <c r="O441" s="1161"/>
      <c r="P441" s="1161"/>
      <c r="Q441" s="838"/>
      <c r="R441" s="779">
        <f>E437</f>
        <v>714730</v>
      </c>
      <c r="S441" s="1155"/>
      <c r="T441" s="1155"/>
    </row>
    <row r="442" spans="1:20" ht="12.75">
      <c r="A442" s="1134"/>
      <c r="B442" s="1134"/>
      <c r="C442" s="1137"/>
      <c r="D442" s="1138"/>
      <c r="E442" s="1137"/>
      <c r="F442" s="1138"/>
      <c r="G442" s="391"/>
      <c r="H442" s="328">
        <v>8511.81</v>
      </c>
      <c r="I442" s="329">
        <v>8511.81</v>
      </c>
      <c r="J442" s="329">
        <v>1502.1</v>
      </c>
      <c r="K442" s="330">
        <v>1502.09</v>
      </c>
      <c r="L442" s="1159"/>
      <c r="M442" s="1155"/>
      <c r="N442" s="1161"/>
      <c r="O442" s="1161"/>
      <c r="P442" s="1161"/>
      <c r="Q442" s="838"/>
      <c r="R442" s="779"/>
      <c r="S442" s="1155"/>
      <c r="T442" s="1155"/>
    </row>
    <row r="443" spans="1:20" ht="12.75">
      <c r="A443" s="1134"/>
      <c r="B443" s="1134"/>
      <c r="C443" s="1137"/>
      <c r="D443" s="1138"/>
      <c r="E443" s="1137"/>
      <c r="F443" s="1138"/>
      <c r="G443" s="391"/>
      <c r="H443" s="328">
        <v>996.49</v>
      </c>
      <c r="I443" s="329">
        <v>996.49</v>
      </c>
      <c r="J443" s="329">
        <v>175.86</v>
      </c>
      <c r="K443" s="330">
        <v>175.85</v>
      </c>
      <c r="L443" s="1159"/>
      <c r="M443" s="1155"/>
      <c r="N443" s="1161"/>
      <c r="O443" s="1161"/>
      <c r="P443" s="1161"/>
      <c r="Q443" s="838"/>
      <c r="R443" s="779"/>
      <c r="S443" s="1155"/>
      <c r="T443" s="1155"/>
    </row>
    <row r="444" spans="1:20" ht="12.75">
      <c r="A444" s="1134"/>
      <c r="B444" s="1134"/>
      <c r="C444" s="1137"/>
      <c r="D444" s="1138"/>
      <c r="E444" s="1137"/>
      <c r="F444" s="1138"/>
      <c r="G444" s="391"/>
      <c r="H444" s="328">
        <v>3.06</v>
      </c>
      <c r="I444" s="329">
        <v>3.06</v>
      </c>
      <c r="J444" s="329">
        <v>0.54</v>
      </c>
      <c r="K444" s="330">
        <v>0.54</v>
      </c>
      <c r="L444" s="1159"/>
      <c r="M444" s="1155"/>
      <c r="N444" s="1161"/>
      <c r="O444" s="1161"/>
      <c r="P444" s="1161"/>
      <c r="Q444" s="838"/>
      <c r="R444" s="779"/>
      <c r="S444" s="1155"/>
      <c r="T444" s="1155"/>
    </row>
    <row r="445" spans="1:20" ht="12.75">
      <c r="A445" s="1134"/>
      <c r="B445" s="1134"/>
      <c r="C445" s="1137"/>
      <c r="D445" s="1138"/>
      <c r="E445" s="1137"/>
      <c r="F445" s="1138"/>
      <c r="G445" s="391"/>
      <c r="H445" s="328">
        <v>6352.96</v>
      </c>
      <c r="I445" s="329">
        <v>6352.96</v>
      </c>
      <c r="J445" s="329">
        <v>1121.11</v>
      </c>
      <c r="K445" s="330">
        <v>1121.11</v>
      </c>
      <c r="L445" s="1159"/>
      <c r="M445" s="1155"/>
      <c r="N445" s="1161"/>
      <c r="O445" s="1161"/>
      <c r="P445" s="1161"/>
      <c r="Q445" s="838"/>
      <c r="R445" s="779"/>
      <c r="S445" s="1155"/>
      <c r="T445" s="1155"/>
    </row>
    <row r="446" spans="1:20" ht="12.75">
      <c r="A446" s="1134"/>
      <c r="B446" s="1134"/>
      <c r="C446" s="1137"/>
      <c r="D446" s="1138"/>
      <c r="E446" s="1137"/>
      <c r="F446" s="1138"/>
      <c r="G446" s="391"/>
      <c r="H446" s="328">
        <v>4589.41</v>
      </c>
      <c r="I446" s="329">
        <v>4589.41</v>
      </c>
      <c r="J446" s="329">
        <v>809.91</v>
      </c>
      <c r="K446" s="330">
        <v>809.9</v>
      </c>
      <c r="L446" s="1159"/>
      <c r="M446" s="1155"/>
      <c r="N446" s="1161"/>
      <c r="O446" s="1161"/>
      <c r="P446" s="1161"/>
      <c r="Q446" s="838"/>
      <c r="R446" s="779"/>
      <c r="S446" s="1155"/>
      <c r="T446" s="1155"/>
    </row>
    <row r="447" spans="1:20" ht="12.75">
      <c r="A447" s="1134"/>
      <c r="B447" s="1134"/>
      <c r="C447" s="1137"/>
      <c r="D447" s="1138"/>
      <c r="E447" s="1137"/>
      <c r="F447" s="1138"/>
      <c r="G447" s="391"/>
      <c r="H447" s="328">
        <v>6727.34</v>
      </c>
      <c r="I447" s="329">
        <v>6727.34</v>
      </c>
      <c r="J447" s="329">
        <v>1187.19</v>
      </c>
      <c r="K447" s="330">
        <v>1187.18</v>
      </c>
      <c r="L447" s="1159"/>
      <c r="M447" s="1155"/>
      <c r="N447" s="1161"/>
      <c r="O447" s="1161"/>
      <c r="P447" s="1161"/>
      <c r="Q447" s="838"/>
      <c r="R447" s="779"/>
      <c r="S447" s="1155"/>
      <c r="T447" s="1155"/>
    </row>
    <row r="448" spans="1:20" ht="12.75">
      <c r="A448" s="1134"/>
      <c r="B448" s="1134"/>
      <c r="C448" s="1137"/>
      <c r="D448" s="1138"/>
      <c r="E448" s="1137"/>
      <c r="F448" s="1138"/>
      <c r="G448" s="391"/>
      <c r="H448" s="328">
        <v>1690.73</v>
      </c>
      <c r="I448" s="329">
        <v>1690.73</v>
      </c>
      <c r="J448" s="329">
        <v>298.36</v>
      </c>
      <c r="K448" s="330">
        <v>298.36</v>
      </c>
      <c r="L448" s="1159"/>
      <c r="M448" s="1155"/>
      <c r="N448" s="1161"/>
      <c r="O448" s="1161"/>
      <c r="P448" s="1161"/>
      <c r="Q448" s="838"/>
      <c r="R448" s="779"/>
      <c r="S448" s="1155"/>
      <c r="T448" s="1155"/>
    </row>
    <row r="449" spans="1:20" ht="12.75">
      <c r="A449" s="1134"/>
      <c r="B449" s="1134"/>
      <c r="C449" s="1137"/>
      <c r="D449" s="1138"/>
      <c r="E449" s="1137"/>
      <c r="F449" s="1138"/>
      <c r="G449" s="391"/>
      <c r="H449" s="328">
        <v>173213</v>
      </c>
      <c r="I449" s="329">
        <v>173213</v>
      </c>
      <c r="J449" s="329">
        <v>30567</v>
      </c>
      <c r="K449" s="330">
        <v>30567</v>
      </c>
      <c r="L449" s="1159"/>
      <c r="M449" s="1155"/>
      <c r="N449" s="1161"/>
      <c r="O449" s="1161"/>
      <c r="P449" s="1161"/>
      <c r="Q449" s="838"/>
      <c r="R449" s="779"/>
      <c r="S449" s="1155"/>
      <c r="T449" s="1155"/>
    </row>
    <row r="450" spans="1:20" ht="12.75">
      <c r="A450" s="1067"/>
      <c r="B450" s="1067"/>
      <c r="C450" s="1144"/>
      <c r="D450" s="1145"/>
      <c r="E450" s="1144"/>
      <c r="F450" s="1145"/>
      <c r="G450" s="391"/>
      <c r="H450" s="328">
        <v>1114.77</v>
      </c>
      <c r="I450" s="329">
        <v>1114.77</v>
      </c>
      <c r="J450" s="329">
        <v>196.73</v>
      </c>
      <c r="K450" s="330">
        <v>196.73</v>
      </c>
      <c r="L450" s="1127"/>
      <c r="M450" s="1127"/>
      <c r="N450" s="1156"/>
      <c r="O450" s="1127"/>
      <c r="P450" s="1127"/>
      <c r="Q450" s="838"/>
      <c r="R450" s="779"/>
      <c r="S450" s="1127"/>
      <c r="T450" s="1127"/>
    </row>
    <row r="451" spans="1:20" ht="13.5" thickBot="1">
      <c r="A451" s="1128"/>
      <c r="B451" s="1128"/>
      <c r="C451" s="1146"/>
      <c r="D451" s="1147"/>
      <c r="E451" s="1146"/>
      <c r="F451" s="1147"/>
      <c r="G451" s="391"/>
      <c r="H451" s="710">
        <v>10450.36</v>
      </c>
      <c r="I451" s="711">
        <v>10450.36</v>
      </c>
      <c r="J451" s="711">
        <v>1844.19</v>
      </c>
      <c r="K451" s="712">
        <v>1844.18</v>
      </c>
      <c r="L451" s="1157"/>
      <c r="M451" s="1157"/>
      <c r="N451" s="1132"/>
      <c r="O451" s="1157"/>
      <c r="P451" s="1157"/>
      <c r="Q451" s="838"/>
      <c r="R451" s="779"/>
      <c r="S451" s="1157"/>
      <c r="T451" s="1157"/>
    </row>
    <row r="452" spans="1:20" ht="25.5" customHeight="1">
      <c r="A452" s="1133" t="s">
        <v>148</v>
      </c>
      <c r="B452" s="1133" t="s">
        <v>149</v>
      </c>
      <c r="C452" s="261">
        <f>359116+359115</f>
        <v>718231</v>
      </c>
      <c r="D452" s="193">
        <f>63373.5*2</f>
        <v>126747</v>
      </c>
      <c r="E452" s="261">
        <v>718231</v>
      </c>
      <c r="F452" s="193">
        <v>126747</v>
      </c>
      <c r="G452" s="370">
        <v>844978</v>
      </c>
      <c r="H452" s="318">
        <v>143646.18</v>
      </c>
      <c r="I452" s="319">
        <v>143646.18</v>
      </c>
      <c r="J452" s="319">
        <v>25349.32</v>
      </c>
      <c r="K452" s="320">
        <v>25349.32</v>
      </c>
      <c r="L452" s="1158">
        <f>SUM(H452:K455)</f>
        <v>802729.11</v>
      </c>
      <c r="M452" s="1154">
        <f>L452/E453*100</f>
        <v>95.00000118346277</v>
      </c>
      <c r="N452" s="1077">
        <f>208314+53023+166226</f>
        <v>427563</v>
      </c>
      <c r="O452" s="1077">
        <f>N452/E452*100</f>
        <v>59.530011932094276</v>
      </c>
      <c r="P452" s="1077">
        <f>208314+26511+26512+83113*2</f>
        <v>427563</v>
      </c>
      <c r="Q452" s="1083">
        <f>P452/E452*100</f>
        <v>59.530011932094276</v>
      </c>
      <c r="R452" s="779">
        <f>E452+F452</f>
        <v>844978</v>
      </c>
      <c r="S452" s="1114">
        <f>P452/E452*100</f>
        <v>59.530011932094276</v>
      </c>
      <c r="T452" s="1114">
        <f>N452/SUM(H452:I455)*100</f>
        <v>62.663170454836084</v>
      </c>
    </row>
    <row r="453" spans="1:20" ht="25.5" customHeight="1" thickBot="1">
      <c r="A453" s="1134"/>
      <c r="B453" s="1134"/>
      <c r="C453" s="1148">
        <f>C452+D452</f>
        <v>844978</v>
      </c>
      <c r="D453" s="1149"/>
      <c r="E453" s="1148">
        <v>844978</v>
      </c>
      <c r="F453" s="1149"/>
      <c r="G453" s="385">
        <v>844978</v>
      </c>
      <c r="H453" s="328">
        <v>100170.05</v>
      </c>
      <c r="I453" s="329">
        <v>100170.05</v>
      </c>
      <c r="J453" s="329">
        <v>17677.08</v>
      </c>
      <c r="K453" s="330">
        <v>17677.07</v>
      </c>
      <c r="L453" s="1159"/>
      <c r="M453" s="1155"/>
      <c r="N453" s="1075"/>
      <c r="O453" s="1075"/>
      <c r="P453" s="1075"/>
      <c r="Q453" s="1085"/>
      <c r="R453" s="779">
        <f>E453</f>
        <v>844978</v>
      </c>
      <c r="S453" s="1115"/>
      <c r="T453" s="1115"/>
    </row>
    <row r="454" spans="1:20" ht="25.5" customHeight="1">
      <c r="A454" s="1134"/>
      <c r="B454" s="1134"/>
      <c r="C454" s="1150"/>
      <c r="D454" s="1151"/>
      <c r="E454" s="1150"/>
      <c r="F454" s="1151"/>
      <c r="G454" s="382"/>
      <c r="H454" s="328">
        <v>3987.23</v>
      </c>
      <c r="I454" s="329">
        <v>3987.23</v>
      </c>
      <c r="J454" s="329">
        <v>703.64</v>
      </c>
      <c r="K454" s="330">
        <v>703.63</v>
      </c>
      <c r="L454" s="1159"/>
      <c r="M454" s="1155"/>
      <c r="N454" s="1075"/>
      <c r="O454" s="1075"/>
      <c r="P454" s="1075"/>
      <c r="Q454" s="838"/>
      <c r="R454" s="779"/>
      <c r="S454" s="1115"/>
      <c r="T454" s="1115"/>
    </row>
    <row r="455" spans="1:20" ht="25.5" customHeight="1" thickBot="1">
      <c r="A455" s="1090"/>
      <c r="B455" s="1090"/>
      <c r="C455" s="1152"/>
      <c r="D455" s="1153"/>
      <c r="E455" s="1152"/>
      <c r="F455" s="1153"/>
      <c r="G455" s="382"/>
      <c r="H455" s="710">
        <v>93356.74</v>
      </c>
      <c r="I455" s="711">
        <v>93355.79</v>
      </c>
      <c r="J455" s="711">
        <v>16474.79</v>
      </c>
      <c r="K455" s="712">
        <v>16474.81</v>
      </c>
      <c r="L455" s="1113"/>
      <c r="M455" s="1108"/>
      <c r="N455" s="1076"/>
      <c r="O455" s="1076"/>
      <c r="P455" s="1076"/>
      <c r="Q455" s="838"/>
      <c r="R455" s="779"/>
      <c r="S455" s="1116"/>
      <c r="T455" s="1116"/>
    </row>
    <row r="456" spans="1:20" ht="25.5" customHeight="1">
      <c r="A456" s="1133" t="s">
        <v>232</v>
      </c>
      <c r="B456" s="907" t="s">
        <v>231</v>
      </c>
      <c r="C456" s="261">
        <f>411817*2</f>
        <v>823634</v>
      </c>
      <c r="D456" s="193">
        <f>45757.5*2</f>
        <v>91515</v>
      </c>
      <c r="E456" s="270">
        <v>823634</v>
      </c>
      <c r="F456" s="193">
        <v>91515</v>
      </c>
      <c r="G456" s="358">
        <v>915149</v>
      </c>
      <c r="H456" s="318">
        <v>31681.02</v>
      </c>
      <c r="I456" s="319">
        <v>31681.02</v>
      </c>
      <c r="J456" s="319">
        <v>3520.11</v>
      </c>
      <c r="K456" s="320">
        <v>3520.11</v>
      </c>
      <c r="L456" s="1158">
        <f>SUM(H456:K471)</f>
        <v>867530.2200000001</v>
      </c>
      <c r="M456" s="1154">
        <f>L456/E457*100</f>
        <v>94.7966090767733</v>
      </c>
      <c r="N456" s="1160">
        <f>23890+206559+259721+128907+128906</f>
        <v>747983</v>
      </c>
      <c r="O456" s="1160">
        <f>N456/E456*100</f>
        <v>90.81497364120472</v>
      </c>
      <c r="P456" s="1160">
        <f>11945*2+103280+103279+129860+129861+128907+128906</f>
        <v>747983</v>
      </c>
      <c r="Q456" s="838"/>
      <c r="R456" s="779">
        <f>E456+F456</f>
        <v>915149</v>
      </c>
      <c r="S456" s="1154">
        <f>P456/E456*100</f>
        <v>90.81497364120472</v>
      </c>
      <c r="T456" s="1154">
        <f>N456/SUM(H456:I471)*100</f>
        <v>95.79980296042976</v>
      </c>
    </row>
    <row r="457" spans="1:20" ht="25.5" customHeight="1">
      <c r="A457" s="1134"/>
      <c r="B457" s="908"/>
      <c r="C457" s="1135">
        <f>C456+D456</f>
        <v>915149</v>
      </c>
      <c r="D457" s="1136"/>
      <c r="E457" s="1135">
        <v>915149</v>
      </c>
      <c r="F457" s="1136"/>
      <c r="G457" s="1117">
        <v>915149</v>
      </c>
      <c r="H457" s="328">
        <v>41378.06</v>
      </c>
      <c r="I457" s="329">
        <v>41378.06</v>
      </c>
      <c r="J457" s="329">
        <v>4597.57</v>
      </c>
      <c r="K457" s="330">
        <v>4597.56</v>
      </c>
      <c r="L457" s="1159"/>
      <c r="M457" s="1155"/>
      <c r="N457" s="1161"/>
      <c r="O457" s="1161"/>
      <c r="P457" s="1161"/>
      <c r="Q457" s="838"/>
      <c r="R457" s="779"/>
      <c r="S457" s="1155"/>
      <c r="T457" s="1155"/>
    </row>
    <row r="458" spans="1:20" ht="25.5" customHeight="1" thickBot="1">
      <c r="A458" s="1134"/>
      <c r="B458" s="908"/>
      <c r="C458" s="1137"/>
      <c r="D458" s="1138"/>
      <c r="E458" s="1137"/>
      <c r="F458" s="1138"/>
      <c r="G458" s="1101"/>
      <c r="H458" s="328">
        <v>10660.77</v>
      </c>
      <c r="I458" s="329">
        <v>10660.77</v>
      </c>
      <c r="J458" s="329">
        <v>1184.54</v>
      </c>
      <c r="K458" s="330">
        <v>1184.53</v>
      </c>
      <c r="L458" s="1159"/>
      <c r="M458" s="1155"/>
      <c r="N458" s="1161"/>
      <c r="O458" s="1161"/>
      <c r="P458" s="1161"/>
      <c r="Q458" s="838"/>
      <c r="R458" s="779">
        <f>E457</f>
        <v>915149</v>
      </c>
      <c r="S458" s="1155"/>
      <c r="T458" s="1155"/>
    </row>
    <row r="459" spans="1:20" ht="25.5" customHeight="1">
      <c r="A459" s="1134"/>
      <c r="B459" s="908"/>
      <c r="C459" s="1137"/>
      <c r="D459" s="1138"/>
      <c r="E459" s="1137"/>
      <c r="F459" s="1138"/>
      <c r="G459" s="585"/>
      <c r="H459" s="328">
        <v>48269.98</v>
      </c>
      <c r="I459" s="329">
        <v>48269.98</v>
      </c>
      <c r="J459" s="329">
        <v>5363.34</v>
      </c>
      <c r="K459" s="330">
        <v>5363.33</v>
      </c>
      <c r="L459" s="1159"/>
      <c r="M459" s="1155"/>
      <c r="N459" s="1161"/>
      <c r="O459" s="1161"/>
      <c r="P459" s="1161"/>
      <c r="Q459" s="838"/>
      <c r="R459" s="779"/>
      <c r="S459" s="1155"/>
      <c r="T459" s="1155"/>
    </row>
    <row r="460" spans="1:20" ht="25.5" customHeight="1">
      <c r="A460" s="1134"/>
      <c r="B460" s="908"/>
      <c r="C460" s="1137"/>
      <c r="D460" s="1138"/>
      <c r="E460" s="1137"/>
      <c r="F460" s="1138"/>
      <c r="G460" s="585"/>
      <c r="H460" s="328">
        <v>74627.17</v>
      </c>
      <c r="I460" s="329">
        <f>H460</f>
        <v>74627.17</v>
      </c>
      <c r="J460" s="329">
        <v>8291.91</v>
      </c>
      <c r="K460" s="330">
        <v>8291.91</v>
      </c>
      <c r="L460" s="1159"/>
      <c r="M460" s="1155"/>
      <c r="N460" s="1161"/>
      <c r="O460" s="1161"/>
      <c r="P460" s="1161"/>
      <c r="Q460" s="838"/>
      <c r="R460" s="779"/>
      <c r="S460" s="1155"/>
      <c r="T460" s="1155"/>
    </row>
    <row r="461" spans="1:20" ht="25.5" customHeight="1">
      <c r="A461" s="1134"/>
      <c r="B461" s="908"/>
      <c r="C461" s="1137"/>
      <c r="D461" s="1138"/>
      <c r="E461" s="1137"/>
      <c r="F461" s="1138"/>
      <c r="G461" s="585"/>
      <c r="H461" s="328">
        <v>11945.55</v>
      </c>
      <c r="I461" s="329">
        <v>11945.55</v>
      </c>
      <c r="J461" s="329">
        <v>1327.28</v>
      </c>
      <c r="K461" s="330">
        <v>1327.28</v>
      </c>
      <c r="L461" s="1159"/>
      <c r="M461" s="1155"/>
      <c r="N461" s="1161"/>
      <c r="O461" s="1161"/>
      <c r="P461" s="1161"/>
      <c r="Q461" s="838"/>
      <c r="R461" s="779"/>
      <c r="S461" s="1155"/>
      <c r="T461" s="1155"/>
    </row>
    <row r="462" spans="1:20" ht="25.5" customHeight="1">
      <c r="A462" s="1134"/>
      <c r="B462" s="908"/>
      <c r="C462" s="1137"/>
      <c r="D462" s="1138"/>
      <c r="E462" s="1137"/>
      <c r="F462" s="1138"/>
      <c r="G462" s="585"/>
      <c r="H462" s="328">
        <v>27940.42</v>
      </c>
      <c r="I462" s="329">
        <v>27940.42</v>
      </c>
      <c r="J462" s="329">
        <v>3104.49</v>
      </c>
      <c r="K462" s="330">
        <v>3104.49</v>
      </c>
      <c r="L462" s="1159"/>
      <c r="M462" s="1155"/>
      <c r="N462" s="1161"/>
      <c r="O462" s="1161"/>
      <c r="P462" s="1161"/>
      <c r="Q462" s="838"/>
      <c r="R462" s="779"/>
      <c r="S462" s="1155"/>
      <c r="T462" s="1155"/>
    </row>
    <row r="463" spans="1:20" ht="25.5" customHeight="1">
      <c r="A463" s="1134"/>
      <c r="B463" s="908"/>
      <c r="C463" s="1137"/>
      <c r="D463" s="1138"/>
      <c r="E463" s="1137"/>
      <c r="F463" s="1138"/>
      <c r="G463" s="585"/>
      <c r="H463" s="328">
        <v>19559.29</v>
      </c>
      <c r="I463" s="329">
        <v>19559.29</v>
      </c>
      <c r="J463" s="329">
        <v>2173.26</v>
      </c>
      <c r="K463" s="330">
        <v>2173.26</v>
      </c>
      <c r="L463" s="1159"/>
      <c r="M463" s="1155"/>
      <c r="N463" s="1161"/>
      <c r="O463" s="1161"/>
      <c r="P463" s="1161"/>
      <c r="Q463" s="838"/>
      <c r="R463" s="779"/>
      <c r="S463" s="1155"/>
      <c r="T463" s="1155"/>
    </row>
    <row r="464" spans="1:20" ht="25.5" customHeight="1">
      <c r="A464" s="1134"/>
      <c r="B464" s="908"/>
      <c r="C464" s="1137"/>
      <c r="D464" s="1138"/>
      <c r="E464" s="1137"/>
      <c r="F464" s="1138"/>
      <c r="G464" s="585"/>
      <c r="H464" s="328">
        <v>74290.8</v>
      </c>
      <c r="I464" s="329">
        <v>74290.8</v>
      </c>
      <c r="J464" s="329">
        <v>8254.53</v>
      </c>
      <c r="K464" s="330">
        <v>8254.53</v>
      </c>
      <c r="L464" s="1159"/>
      <c r="M464" s="1155"/>
      <c r="N464" s="1161"/>
      <c r="O464" s="1161"/>
      <c r="P464" s="1161"/>
      <c r="Q464" s="838"/>
      <c r="R464" s="779"/>
      <c r="S464" s="1155"/>
      <c r="T464" s="1155"/>
    </row>
    <row r="465" spans="1:20" ht="25.5" customHeight="1">
      <c r="A465" s="1134"/>
      <c r="B465" s="908"/>
      <c r="C465" s="1137"/>
      <c r="D465" s="1138"/>
      <c r="E465" s="1137"/>
      <c r="F465" s="1138"/>
      <c r="G465" s="585"/>
      <c r="H465" s="328">
        <v>6962.47</v>
      </c>
      <c r="I465" s="329">
        <v>6962.47</v>
      </c>
      <c r="J465" s="329">
        <v>773.61</v>
      </c>
      <c r="K465" s="330">
        <v>773.61</v>
      </c>
      <c r="L465" s="1159"/>
      <c r="M465" s="1155"/>
      <c r="N465" s="1161"/>
      <c r="O465" s="1161"/>
      <c r="P465" s="1161"/>
      <c r="Q465" s="838"/>
      <c r="R465" s="779"/>
      <c r="S465" s="1155"/>
      <c r="T465" s="1155"/>
    </row>
    <row r="466" spans="1:20" ht="25.5" customHeight="1">
      <c r="A466" s="1134"/>
      <c r="B466" s="908"/>
      <c r="C466" s="1137"/>
      <c r="D466" s="1138"/>
      <c r="E466" s="1137"/>
      <c r="F466" s="1138"/>
      <c r="G466" s="585"/>
      <c r="H466" s="328">
        <v>15935.26</v>
      </c>
      <c r="I466" s="329">
        <v>15935.26</v>
      </c>
      <c r="J466" s="329">
        <v>1770.58</v>
      </c>
      <c r="K466" s="330">
        <v>1770.58</v>
      </c>
      <c r="L466" s="1159"/>
      <c r="M466" s="1155"/>
      <c r="N466" s="1161"/>
      <c r="O466" s="1161"/>
      <c r="P466" s="1161"/>
      <c r="Q466" s="838"/>
      <c r="R466" s="779"/>
      <c r="S466" s="1155"/>
      <c r="T466" s="1155"/>
    </row>
    <row r="467" spans="1:20" ht="25.5" customHeight="1">
      <c r="A467" s="1134"/>
      <c r="B467" s="908"/>
      <c r="C467" s="1137"/>
      <c r="D467" s="1138"/>
      <c r="E467" s="1137"/>
      <c r="F467" s="1138"/>
      <c r="G467" s="585"/>
      <c r="H467" s="328">
        <v>1833.21</v>
      </c>
      <c r="I467" s="329">
        <v>1833.21</v>
      </c>
      <c r="J467" s="329">
        <v>203.69</v>
      </c>
      <c r="K467" s="330">
        <v>203.69</v>
      </c>
      <c r="L467" s="1159"/>
      <c r="M467" s="1155"/>
      <c r="N467" s="1161"/>
      <c r="O467" s="1161"/>
      <c r="P467" s="1161"/>
      <c r="Q467" s="838"/>
      <c r="R467" s="779"/>
      <c r="S467" s="1155"/>
      <c r="T467" s="1155"/>
    </row>
    <row r="468" spans="1:20" ht="25.5" customHeight="1">
      <c r="A468" s="1134"/>
      <c r="B468" s="908"/>
      <c r="C468" s="1137"/>
      <c r="D468" s="1138"/>
      <c r="E468" s="1137"/>
      <c r="F468" s="1138"/>
      <c r="G468" s="585"/>
      <c r="H468" s="328">
        <v>2242.8</v>
      </c>
      <c r="I468" s="329">
        <v>2242.8</v>
      </c>
      <c r="J468" s="329">
        <v>249.2</v>
      </c>
      <c r="K468" s="330">
        <v>249.2</v>
      </c>
      <c r="L468" s="1159"/>
      <c r="M468" s="1155"/>
      <c r="N468" s="1161"/>
      <c r="O468" s="1161"/>
      <c r="P468" s="1161"/>
      <c r="Q468" s="838"/>
      <c r="R468" s="779"/>
      <c r="S468" s="1155"/>
      <c r="T468" s="1155"/>
    </row>
    <row r="469" spans="1:20" ht="25.5" customHeight="1">
      <c r="A469" s="1067"/>
      <c r="B469" s="1067"/>
      <c r="C469" s="1144"/>
      <c r="D469" s="1145"/>
      <c r="E469" s="1144"/>
      <c r="F469" s="1145"/>
      <c r="G469" s="585"/>
      <c r="H469" s="328">
        <v>10740.28</v>
      </c>
      <c r="I469" s="329">
        <v>10740.28</v>
      </c>
      <c r="J469" s="329">
        <v>1193.38</v>
      </c>
      <c r="K469" s="330">
        <v>1193.37</v>
      </c>
      <c r="L469" s="1156"/>
      <c r="M469" s="1156"/>
      <c r="N469" s="1156"/>
      <c r="O469" s="1156"/>
      <c r="P469" s="1156"/>
      <c r="Q469" s="838"/>
      <c r="R469" s="779"/>
      <c r="S469" s="1156"/>
      <c r="T469" s="1156"/>
    </row>
    <row r="470" spans="1:20" ht="25.5" customHeight="1">
      <c r="A470" s="1067"/>
      <c r="B470" s="1067"/>
      <c r="C470" s="1144"/>
      <c r="D470" s="1145"/>
      <c r="E470" s="1144"/>
      <c r="F470" s="1145"/>
      <c r="G470" s="585"/>
      <c r="H470" s="328">
        <v>5625.5</v>
      </c>
      <c r="I470" s="329">
        <v>5625.5</v>
      </c>
      <c r="J470" s="329">
        <v>625.05</v>
      </c>
      <c r="K470" s="330">
        <v>625.05</v>
      </c>
      <c r="L470" s="1156"/>
      <c r="M470" s="1156"/>
      <c r="N470" s="1156"/>
      <c r="O470" s="1156"/>
      <c r="P470" s="1156"/>
      <c r="Q470" s="838"/>
      <c r="R470" s="779"/>
      <c r="S470" s="1156"/>
      <c r="T470" s="1156"/>
    </row>
    <row r="471" spans="1:20" ht="25.5" customHeight="1" thickBot="1">
      <c r="A471" s="1128"/>
      <c r="B471" s="1128"/>
      <c r="C471" s="1146"/>
      <c r="D471" s="1147"/>
      <c r="E471" s="1146"/>
      <c r="F471" s="1147"/>
      <c r="G471" s="585"/>
      <c r="H471" s="878">
        <v>6696.01</v>
      </c>
      <c r="I471" s="879">
        <v>6696.01</v>
      </c>
      <c r="J471" s="879">
        <v>744</v>
      </c>
      <c r="K471" s="880">
        <v>744</v>
      </c>
      <c r="L471" s="1157"/>
      <c r="M471" s="1157"/>
      <c r="N471" s="1157"/>
      <c r="O471" s="1157"/>
      <c r="P471" s="1157"/>
      <c r="Q471" s="838"/>
      <c r="R471" s="779"/>
      <c r="S471" s="1157"/>
      <c r="T471" s="1157"/>
    </row>
    <row r="472" spans="1:20" ht="18.75" customHeight="1">
      <c r="A472" s="1133" t="s">
        <v>270</v>
      </c>
      <c r="B472" s="1133" t="s">
        <v>169</v>
      </c>
      <c r="C472" s="270">
        <f>250401+250400</f>
        <v>500801</v>
      </c>
      <c r="D472" s="193">
        <f>44188.5*2</f>
        <v>88377</v>
      </c>
      <c r="E472" s="270">
        <v>500801</v>
      </c>
      <c r="F472" s="193">
        <v>88377</v>
      </c>
      <c r="G472" s="370">
        <v>589178</v>
      </c>
      <c r="H472" s="318">
        <v>100160.26</v>
      </c>
      <c r="I472" s="319">
        <v>100160.26</v>
      </c>
      <c r="J472" s="319">
        <v>17675.34</v>
      </c>
      <c r="K472" s="320">
        <v>17675.34</v>
      </c>
      <c r="L472" s="1158">
        <f>SUM(H472:K476)</f>
        <v>559719.1</v>
      </c>
      <c r="M472" s="1154">
        <f>L472/E473*100</f>
        <v>95</v>
      </c>
      <c r="N472" s="1160">
        <f>197590+29331*2</f>
        <v>256252</v>
      </c>
      <c r="O472" s="1160">
        <f>N472/E472*100</f>
        <v>51.16842817805875</v>
      </c>
      <c r="P472" s="1160">
        <f>197590+29331*2</f>
        <v>256252</v>
      </c>
      <c r="Q472" s="1071">
        <f>P472/E472*100</f>
        <v>51.16842817805875</v>
      </c>
      <c r="R472" s="779">
        <f>E472+F472</f>
        <v>589178</v>
      </c>
      <c r="S472" s="1154">
        <f>P472/E472*100</f>
        <v>51.16842817805875</v>
      </c>
      <c r="T472" s="1154">
        <f>N472/SUM(H472:I476)*100</f>
        <v>53.861503345325005</v>
      </c>
    </row>
    <row r="473" spans="1:20" ht="18.75" customHeight="1" thickBot="1">
      <c r="A473" s="1134"/>
      <c r="B473" s="1134"/>
      <c r="C473" s="1135">
        <f>C472+D472</f>
        <v>589178</v>
      </c>
      <c r="D473" s="1136"/>
      <c r="E473" s="1135">
        <v>589178</v>
      </c>
      <c r="F473" s="1136"/>
      <c r="G473" s="388">
        <v>589178</v>
      </c>
      <c r="H473" s="328">
        <v>30618.39</v>
      </c>
      <c r="I473" s="329">
        <v>30618.39</v>
      </c>
      <c r="J473" s="329">
        <v>5403.26</v>
      </c>
      <c r="K473" s="330">
        <v>5403.25</v>
      </c>
      <c r="L473" s="1156"/>
      <c r="M473" s="1155"/>
      <c r="N473" s="1156"/>
      <c r="O473" s="1161"/>
      <c r="P473" s="1156"/>
      <c r="Q473" s="1068"/>
      <c r="R473" s="779">
        <f>E473</f>
        <v>589178</v>
      </c>
      <c r="S473" s="1155"/>
      <c r="T473" s="1155"/>
    </row>
    <row r="474" spans="1:20" ht="18.75" customHeight="1">
      <c r="A474" s="1067"/>
      <c r="B474" s="1067"/>
      <c r="C474" s="1144"/>
      <c r="D474" s="1145"/>
      <c r="E474" s="1144"/>
      <c r="F474" s="1145"/>
      <c r="G474" s="382"/>
      <c r="H474" s="328">
        <v>27798.38</v>
      </c>
      <c r="I474" s="329">
        <v>27798.38</v>
      </c>
      <c r="J474" s="329">
        <v>4905.6</v>
      </c>
      <c r="K474" s="330">
        <v>4905.6</v>
      </c>
      <c r="L474" s="1156"/>
      <c r="M474" s="1156"/>
      <c r="N474" s="1156"/>
      <c r="O474" s="1156"/>
      <c r="P474" s="1156"/>
      <c r="Q474" s="838"/>
      <c r="R474" s="779"/>
      <c r="S474" s="1156"/>
      <c r="T474" s="1156"/>
    </row>
    <row r="475" spans="1:20" ht="18.75" customHeight="1">
      <c r="A475" s="1067"/>
      <c r="B475" s="1067"/>
      <c r="C475" s="1144"/>
      <c r="D475" s="1145"/>
      <c r="E475" s="1144"/>
      <c r="F475" s="1145"/>
      <c r="G475" s="382"/>
      <c r="H475" s="328">
        <v>31766.05</v>
      </c>
      <c r="I475" s="329">
        <v>31766.05</v>
      </c>
      <c r="J475" s="329">
        <v>5605.77</v>
      </c>
      <c r="K475" s="330">
        <v>5605.77</v>
      </c>
      <c r="L475" s="1156"/>
      <c r="M475" s="1156"/>
      <c r="N475" s="1156"/>
      <c r="O475" s="1156"/>
      <c r="P475" s="1156"/>
      <c r="Q475" s="838"/>
      <c r="R475" s="779"/>
      <c r="S475" s="1156"/>
      <c r="T475" s="1156"/>
    </row>
    <row r="476" spans="1:20" ht="18.75" customHeight="1" thickBot="1">
      <c r="A476" s="1128"/>
      <c r="B476" s="1128"/>
      <c r="C476" s="1146"/>
      <c r="D476" s="1147"/>
      <c r="E476" s="1146"/>
      <c r="F476" s="1147"/>
      <c r="G476" s="382"/>
      <c r="H476" s="710">
        <v>47537.87</v>
      </c>
      <c r="I476" s="711">
        <v>47536.92</v>
      </c>
      <c r="J476" s="711">
        <v>8389.11</v>
      </c>
      <c r="K476" s="712">
        <v>8389.11</v>
      </c>
      <c r="L476" s="1132"/>
      <c r="M476" s="1132"/>
      <c r="N476" s="1132"/>
      <c r="O476" s="1132"/>
      <c r="P476" s="1132"/>
      <c r="Q476" s="838"/>
      <c r="R476" s="779"/>
      <c r="S476" s="1132"/>
      <c r="T476" s="1132"/>
    </row>
    <row r="477" spans="1:20" ht="19.5" customHeight="1">
      <c r="A477" s="1133" t="s">
        <v>144</v>
      </c>
      <c r="B477" s="1133" t="s">
        <v>243</v>
      </c>
      <c r="C477" s="261">
        <f>140443*2</f>
        <v>280886</v>
      </c>
      <c r="D477" s="193">
        <f>24784*2</f>
        <v>49568</v>
      </c>
      <c r="E477" s="270">
        <v>280886</v>
      </c>
      <c r="F477" s="193">
        <v>49568</v>
      </c>
      <c r="G477" s="370">
        <v>330454</v>
      </c>
      <c r="H477" s="318">
        <v>1041.25</v>
      </c>
      <c r="I477" s="319">
        <f>H477</f>
        <v>1041.25</v>
      </c>
      <c r="J477" s="319">
        <v>183.75</v>
      </c>
      <c r="K477" s="320">
        <v>183.75</v>
      </c>
      <c r="L477" s="1158">
        <f>SUM(H477:K481)</f>
        <v>126014.22</v>
      </c>
      <c r="M477" s="1154">
        <f>L477/E478*100</f>
        <v>38.13366459476962</v>
      </c>
      <c r="N477" s="1160">
        <f>3839+196+197</f>
        <v>4232</v>
      </c>
      <c r="O477" s="1160">
        <f>N477/E477*100</f>
        <v>1.5066610653432353</v>
      </c>
      <c r="P477" s="1160">
        <f>1920+1919+196+197</f>
        <v>4232</v>
      </c>
      <c r="Q477" s="838"/>
      <c r="R477" s="779">
        <f>E477+F477</f>
        <v>330454</v>
      </c>
      <c r="S477" s="1154">
        <v>0</v>
      </c>
      <c r="T477" s="1154">
        <f>N477/SUM(H477:I481)*100</f>
        <v>3.9510008673156434</v>
      </c>
    </row>
    <row r="478" spans="1:20" ht="24" customHeight="1" thickBot="1">
      <c r="A478" s="1134"/>
      <c r="B478" s="1134"/>
      <c r="C478" s="1135">
        <f>C477+D477</f>
        <v>330454</v>
      </c>
      <c r="D478" s="1136"/>
      <c r="E478" s="1135">
        <v>330454</v>
      </c>
      <c r="F478" s="1136"/>
      <c r="G478" s="388">
        <v>330454</v>
      </c>
      <c r="H478" s="328">
        <v>12826.07</v>
      </c>
      <c r="I478" s="329">
        <v>12826.07</v>
      </c>
      <c r="J478" s="329">
        <v>2263.43</v>
      </c>
      <c r="K478" s="330">
        <v>2263.43</v>
      </c>
      <c r="L478" s="1156"/>
      <c r="M478" s="1155"/>
      <c r="N478" s="1156"/>
      <c r="O478" s="1161"/>
      <c r="P478" s="1156"/>
      <c r="Q478" s="838"/>
      <c r="R478" s="779">
        <f>E478</f>
        <v>330454</v>
      </c>
      <c r="S478" s="1155"/>
      <c r="T478" s="1155"/>
    </row>
    <row r="479" spans="1:20" ht="24" customHeight="1">
      <c r="A479" s="1067"/>
      <c r="B479" s="1067"/>
      <c r="C479" s="1144"/>
      <c r="D479" s="1145"/>
      <c r="E479" s="1144"/>
      <c r="F479" s="1145"/>
      <c r="G479" s="382"/>
      <c r="H479" s="328">
        <v>878.08</v>
      </c>
      <c r="I479" s="329">
        <v>878.08</v>
      </c>
      <c r="J479" s="329">
        <v>154.95</v>
      </c>
      <c r="K479" s="330">
        <v>154.95</v>
      </c>
      <c r="L479" s="1156"/>
      <c r="M479" s="1156"/>
      <c r="N479" s="1156"/>
      <c r="O479" s="1156"/>
      <c r="P479" s="1156"/>
      <c r="Q479" s="838"/>
      <c r="R479" s="779"/>
      <c r="S479" s="1156"/>
      <c r="T479" s="1156"/>
    </row>
    <row r="480" spans="1:20" ht="24" customHeight="1">
      <c r="A480" s="1067"/>
      <c r="B480" s="1067"/>
      <c r="C480" s="1144"/>
      <c r="D480" s="1145"/>
      <c r="E480" s="1144"/>
      <c r="F480" s="1145"/>
      <c r="G480" s="382"/>
      <c r="H480" s="328">
        <v>38613.66</v>
      </c>
      <c r="I480" s="329">
        <v>38613.66</v>
      </c>
      <c r="J480" s="329">
        <v>6814.17</v>
      </c>
      <c r="K480" s="330">
        <v>6814.17</v>
      </c>
      <c r="L480" s="1127"/>
      <c r="M480" s="1127"/>
      <c r="N480" s="1156"/>
      <c r="O480" s="1127"/>
      <c r="P480" s="1127"/>
      <c r="Q480" s="838"/>
      <c r="R480" s="779"/>
      <c r="S480" s="1127"/>
      <c r="T480" s="1127"/>
    </row>
    <row r="481" spans="1:20" ht="24" customHeight="1" thickBot="1">
      <c r="A481" s="1128"/>
      <c r="B481" s="1128"/>
      <c r="C481" s="1146"/>
      <c r="D481" s="1147"/>
      <c r="E481" s="1146"/>
      <c r="F481" s="1147"/>
      <c r="G481" s="382"/>
      <c r="H481" s="710">
        <v>196.99</v>
      </c>
      <c r="I481" s="711">
        <v>196.99</v>
      </c>
      <c r="J481" s="711">
        <v>34.76</v>
      </c>
      <c r="K481" s="712">
        <v>34.76</v>
      </c>
      <c r="L481" s="1157"/>
      <c r="M481" s="1157"/>
      <c r="N481" s="1132"/>
      <c r="O481" s="1157"/>
      <c r="P481" s="1157"/>
      <c r="Q481" s="838"/>
      <c r="R481" s="779"/>
      <c r="S481" s="1157"/>
      <c r="T481" s="1157"/>
    </row>
    <row r="482" spans="1:20" ht="26.25" customHeight="1">
      <c r="A482" s="1133" t="s">
        <v>245</v>
      </c>
      <c r="B482" s="1133" t="s">
        <v>244</v>
      </c>
      <c r="C482" s="261">
        <f>448865*2</f>
        <v>897730</v>
      </c>
      <c r="D482" s="193">
        <f>79211.5*2</f>
        <v>158423</v>
      </c>
      <c r="E482" s="192">
        <v>897730</v>
      </c>
      <c r="F482" s="271">
        <v>158423</v>
      </c>
      <c r="G482" s="371">
        <v>1056153</v>
      </c>
      <c r="H482" s="318">
        <v>262951.78</v>
      </c>
      <c r="I482" s="319">
        <v>262951.78</v>
      </c>
      <c r="J482" s="319">
        <v>46403.27</v>
      </c>
      <c r="K482" s="320">
        <v>46403.26</v>
      </c>
      <c r="L482" s="1158">
        <f>SUM(H482:K485)</f>
        <v>1003345.35</v>
      </c>
      <c r="M482" s="1154">
        <f>L482/E483*100</f>
        <v>95</v>
      </c>
      <c r="N482" s="1160">
        <v>867922</v>
      </c>
      <c r="O482" s="1160">
        <f>N482/E482*100</f>
        <v>96.67962527708777</v>
      </c>
      <c r="P482" s="1160">
        <f>742206+49329+49328</f>
        <v>840863</v>
      </c>
      <c r="Q482" s="838"/>
      <c r="R482" s="839">
        <f>E482+F482</f>
        <v>1056153</v>
      </c>
      <c r="S482" s="1154">
        <f>P482/E482*100</f>
        <v>93.66546734541566</v>
      </c>
      <c r="T482" s="1154">
        <f>N482/SUM(H482:I485)*100</f>
        <v>101.7680266074608</v>
      </c>
    </row>
    <row r="483" spans="1:20" ht="26.25" customHeight="1" thickBot="1">
      <c r="A483" s="1134"/>
      <c r="B483" s="1134"/>
      <c r="C483" s="1135">
        <f>C482+D482</f>
        <v>1056153</v>
      </c>
      <c r="D483" s="1136"/>
      <c r="E483" s="1135">
        <v>1056153</v>
      </c>
      <c r="F483" s="1136"/>
      <c r="G483" s="385">
        <v>1056153</v>
      </c>
      <c r="H483" s="328">
        <v>36496.17</v>
      </c>
      <c r="I483" s="329">
        <v>36496.17</v>
      </c>
      <c r="J483" s="329">
        <v>6440.5</v>
      </c>
      <c r="K483" s="330">
        <v>6440.5</v>
      </c>
      <c r="L483" s="1156"/>
      <c r="M483" s="1155"/>
      <c r="N483" s="1156"/>
      <c r="O483" s="1156"/>
      <c r="P483" s="1156"/>
      <c r="Q483" s="838"/>
      <c r="R483" s="839">
        <f>E483</f>
        <v>1056153</v>
      </c>
      <c r="S483" s="1155"/>
      <c r="T483" s="1155"/>
    </row>
    <row r="484" spans="1:20" ht="26.25" customHeight="1" thickBot="1">
      <c r="A484" s="1067"/>
      <c r="B484" s="1067"/>
      <c r="C484" s="1144"/>
      <c r="D484" s="1145"/>
      <c r="E484" s="1144"/>
      <c r="F484" s="1145"/>
      <c r="G484" s="382"/>
      <c r="H484" s="328">
        <v>71655.33</v>
      </c>
      <c r="I484" s="329">
        <v>71655.33</v>
      </c>
      <c r="J484" s="329">
        <v>12645.07</v>
      </c>
      <c r="K484" s="330">
        <v>12645.06</v>
      </c>
      <c r="L484" s="1156"/>
      <c r="M484" s="1156"/>
      <c r="N484" s="1156"/>
      <c r="O484" s="1156"/>
      <c r="P484" s="1156"/>
      <c r="Q484" s="842"/>
      <c r="R484" s="841"/>
      <c r="S484" s="1156"/>
      <c r="T484" s="1156"/>
    </row>
    <row r="485" spans="1:20" ht="26.25" customHeight="1" thickBot="1">
      <c r="A485" s="1128"/>
      <c r="B485" s="1128"/>
      <c r="C485" s="1146"/>
      <c r="D485" s="1147"/>
      <c r="E485" s="1146"/>
      <c r="F485" s="1147"/>
      <c r="G485" s="382"/>
      <c r="H485" s="875">
        <v>55318.47</v>
      </c>
      <c r="I485" s="876">
        <v>55318.47</v>
      </c>
      <c r="J485" s="876">
        <v>9762.09</v>
      </c>
      <c r="K485" s="877">
        <v>9762.1</v>
      </c>
      <c r="L485" s="1132"/>
      <c r="M485" s="1132"/>
      <c r="N485" s="1132"/>
      <c r="O485" s="1132"/>
      <c r="P485" s="1132"/>
      <c r="Q485" s="838"/>
      <c r="R485" s="839"/>
      <c r="S485" s="1132"/>
      <c r="T485" s="1132"/>
    </row>
    <row r="486" spans="1:20" ht="21" customHeight="1">
      <c r="A486" s="1133" t="s">
        <v>251</v>
      </c>
      <c r="B486" s="1133" t="s">
        <v>296</v>
      </c>
      <c r="C486" s="265">
        <v>250233</v>
      </c>
      <c r="D486" s="267">
        <v>44159</v>
      </c>
      <c r="E486" s="272">
        <v>250233</v>
      </c>
      <c r="F486" s="271">
        <v>44159</v>
      </c>
      <c r="G486" s="371">
        <v>294392</v>
      </c>
      <c r="H486" s="878">
        <v>0</v>
      </c>
      <c r="I486" s="879">
        <v>100092.6</v>
      </c>
      <c r="J486" s="879">
        <v>0</v>
      </c>
      <c r="K486" s="880">
        <v>17663.4</v>
      </c>
      <c r="L486" s="1158">
        <f>SUM(H486:K490)</f>
        <v>279672.4</v>
      </c>
      <c r="M486" s="1154">
        <f>L486/E487*100</f>
        <v>95</v>
      </c>
      <c r="N486" s="1160">
        <f>28646+59389+32390+31026</f>
        <v>151451</v>
      </c>
      <c r="O486" s="1160">
        <f>N486/E486*100</f>
        <v>60.52399163979172</v>
      </c>
      <c r="P486" s="1160">
        <f>28646+59389+32390+31026</f>
        <v>151451</v>
      </c>
      <c r="Q486" s="838"/>
      <c r="R486" s="779">
        <f>E486+F486</f>
        <v>294392</v>
      </c>
      <c r="S486" s="1154">
        <f>P486/E486*100</f>
        <v>60.52399163979172</v>
      </c>
      <c r="T486" s="1154">
        <f>N486/SUM(H486:I490)*100</f>
        <v>63.709464883991274</v>
      </c>
    </row>
    <row r="487" spans="1:20" ht="26.25" customHeight="1">
      <c r="A487" s="1134"/>
      <c r="B487" s="1134"/>
      <c r="C487" s="1119">
        <f>C486+D486</f>
        <v>294392</v>
      </c>
      <c r="D487" s="1120"/>
      <c r="E487" s="1135">
        <v>294392</v>
      </c>
      <c r="F487" s="1136"/>
      <c r="G487" s="386">
        <v>294392</v>
      </c>
      <c r="H487" s="328">
        <v>0</v>
      </c>
      <c r="I487" s="329">
        <v>28646.84</v>
      </c>
      <c r="J487" s="329">
        <v>0</v>
      </c>
      <c r="K487" s="330">
        <v>5055.33</v>
      </c>
      <c r="L487" s="1159"/>
      <c r="M487" s="1155"/>
      <c r="N487" s="1161"/>
      <c r="O487" s="1161"/>
      <c r="P487" s="1161"/>
      <c r="Q487" s="838"/>
      <c r="R487" s="779">
        <f>E487</f>
        <v>294392</v>
      </c>
      <c r="S487" s="1155"/>
      <c r="T487" s="1155"/>
    </row>
    <row r="488" spans="1:20" ht="26.25" customHeight="1">
      <c r="A488" s="1134"/>
      <c r="B488" s="1134"/>
      <c r="C488" s="1121"/>
      <c r="D488" s="1122"/>
      <c r="E488" s="1137"/>
      <c r="F488" s="1138"/>
      <c r="G488" s="386"/>
      <c r="H488" s="328">
        <v>0</v>
      </c>
      <c r="I488" s="329">
        <v>59387.65</v>
      </c>
      <c r="J488" s="329">
        <v>0</v>
      </c>
      <c r="K488" s="330">
        <v>10480.17</v>
      </c>
      <c r="L488" s="1159"/>
      <c r="M488" s="1155"/>
      <c r="N488" s="1161"/>
      <c r="O488" s="1161"/>
      <c r="P488" s="1161"/>
      <c r="Q488" s="838"/>
      <c r="R488" s="779"/>
      <c r="S488" s="1155"/>
      <c r="T488" s="1155"/>
    </row>
    <row r="489" spans="1:20" ht="26.25" customHeight="1">
      <c r="A489" s="1134"/>
      <c r="B489" s="1134"/>
      <c r="C489" s="1121"/>
      <c r="D489" s="1122"/>
      <c r="E489" s="1137"/>
      <c r="F489" s="1138"/>
      <c r="G489" s="386"/>
      <c r="H489" s="328">
        <v>0</v>
      </c>
      <c r="I489" s="329">
        <v>32388.53</v>
      </c>
      <c r="J489" s="329">
        <v>0</v>
      </c>
      <c r="K489" s="330">
        <v>5715.62</v>
      </c>
      <c r="L489" s="1159"/>
      <c r="M489" s="1155"/>
      <c r="N489" s="1161"/>
      <c r="O489" s="1161"/>
      <c r="P489" s="1161"/>
      <c r="Q489" s="838"/>
      <c r="R489" s="779"/>
      <c r="S489" s="1155"/>
      <c r="T489" s="1155"/>
    </row>
    <row r="490" spans="1:20" ht="26.25" customHeight="1" thickBot="1">
      <c r="A490" s="1067"/>
      <c r="B490" s="1067"/>
      <c r="C490" s="1144"/>
      <c r="D490" s="1145"/>
      <c r="E490" s="1144"/>
      <c r="F490" s="1145"/>
      <c r="G490" s="386"/>
      <c r="H490" s="710">
        <v>0</v>
      </c>
      <c r="I490" s="711">
        <v>17205.73</v>
      </c>
      <c r="J490" s="711">
        <v>0</v>
      </c>
      <c r="K490" s="712">
        <v>3036.53</v>
      </c>
      <c r="L490" s="1156"/>
      <c r="M490" s="1156"/>
      <c r="N490" s="1156"/>
      <c r="O490" s="1156"/>
      <c r="P490" s="1156"/>
      <c r="Q490" s="838"/>
      <c r="R490" s="779"/>
      <c r="S490" s="1156"/>
      <c r="T490" s="1156"/>
    </row>
    <row r="491" spans="1:20" ht="21.75" customHeight="1">
      <c r="A491" s="1133" t="s">
        <v>173</v>
      </c>
      <c r="B491" s="1133" t="s">
        <v>174</v>
      </c>
      <c r="C491" s="261">
        <f>414176+414175</f>
        <v>828351</v>
      </c>
      <c r="D491" s="193">
        <f>46019.5+46019.5</f>
        <v>92039</v>
      </c>
      <c r="E491" s="261">
        <v>828351</v>
      </c>
      <c r="F491" s="193">
        <v>92039</v>
      </c>
      <c r="G491" s="370">
        <v>920390</v>
      </c>
      <c r="H491" s="318">
        <v>165670.2</v>
      </c>
      <c r="I491" s="319">
        <v>165670.2</v>
      </c>
      <c r="J491" s="319">
        <v>18407.8</v>
      </c>
      <c r="K491" s="320">
        <v>18407.8</v>
      </c>
      <c r="L491" s="1158">
        <f>SUM(H491:K494)</f>
        <v>874370.4999999998</v>
      </c>
      <c r="M491" s="1154">
        <f>L491/E492*100</f>
        <v>94.99999999999997</v>
      </c>
      <c r="N491" s="1160">
        <f>276289+105269+105270</f>
        <v>486828</v>
      </c>
      <c r="O491" s="1160">
        <f>N491/E491*100</f>
        <v>58.77073849129173</v>
      </c>
      <c r="P491" s="1160">
        <f>29658*2+108486+108487+105270+105269</f>
        <v>486828</v>
      </c>
      <c r="Q491" s="1083">
        <f>P491/E491*100</f>
        <v>58.77073849129173</v>
      </c>
      <c r="R491" s="840">
        <f>E491+F491</f>
        <v>920390</v>
      </c>
      <c r="S491" s="1154">
        <f>P491/E491*100</f>
        <v>58.77073849129173</v>
      </c>
      <c r="T491" s="1154">
        <f>N491/SUM(H491:I494)*100</f>
        <v>61.86393525399131</v>
      </c>
    </row>
    <row r="492" spans="1:20" ht="21.75" customHeight="1" thickBot="1">
      <c r="A492" s="1134"/>
      <c r="B492" s="1134"/>
      <c r="C492" s="1135">
        <f>C491+D491</f>
        <v>920390</v>
      </c>
      <c r="D492" s="1136"/>
      <c r="E492" s="1135">
        <v>920390</v>
      </c>
      <c r="F492" s="1136"/>
      <c r="G492" s="388">
        <v>920390</v>
      </c>
      <c r="H492" s="328">
        <v>29657.99</v>
      </c>
      <c r="I492" s="329">
        <f>H492</f>
        <v>29657.99</v>
      </c>
      <c r="J492" s="329">
        <v>3295.34</v>
      </c>
      <c r="K492" s="330">
        <v>3295.32</v>
      </c>
      <c r="L492" s="1156"/>
      <c r="M492" s="1155"/>
      <c r="N492" s="1156"/>
      <c r="O492" s="1161"/>
      <c r="P492" s="1161"/>
      <c r="Q492" s="1085"/>
      <c r="R492" s="839">
        <f>E492</f>
        <v>920390</v>
      </c>
      <c r="S492" s="1155"/>
      <c r="T492" s="1155"/>
    </row>
    <row r="493" spans="1:20" ht="21.75" customHeight="1">
      <c r="A493" s="1067"/>
      <c r="B493" s="1067"/>
      <c r="C493" s="1144"/>
      <c r="D493" s="1145"/>
      <c r="E493" s="1144"/>
      <c r="F493" s="1145"/>
      <c r="G493" s="382"/>
      <c r="H493" s="328">
        <v>108280.58</v>
      </c>
      <c r="I493" s="329">
        <v>108280.58</v>
      </c>
      <c r="J493" s="329">
        <v>12031.19</v>
      </c>
      <c r="K493" s="330">
        <v>12031.18</v>
      </c>
      <c r="L493" s="1156"/>
      <c r="M493" s="1156"/>
      <c r="N493" s="1156"/>
      <c r="O493" s="1156"/>
      <c r="P493" s="1156"/>
      <c r="Q493" s="838"/>
      <c r="R493" s="839"/>
      <c r="S493" s="1156"/>
      <c r="T493" s="1156"/>
    </row>
    <row r="494" spans="1:20" ht="21.75" customHeight="1" thickBot="1">
      <c r="A494" s="1128"/>
      <c r="B494" s="1128"/>
      <c r="C494" s="1146"/>
      <c r="D494" s="1147"/>
      <c r="E494" s="1146"/>
      <c r="F494" s="1147"/>
      <c r="G494" s="388"/>
      <c r="H494" s="875">
        <v>89858.43</v>
      </c>
      <c r="I494" s="876">
        <v>89857.48</v>
      </c>
      <c r="J494" s="876">
        <v>9984.2</v>
      </c>
      <c r="K494" s="877">
        <v>9984.22</v>
      </c>
      <c r="L494" s="1132"/>
      <c r="M494" s="1132"/>
      <c r="N494" s="1132"/>
      <c r="O494" s="1132"/>
      <c r="P494" s="1132"/>
      <c r="Q494" s="842"/>
      <c r="R494" s="841"/>
      <c r="S494" s="1132"/>
      <c r="T494" s="1132"/>
    </row>
    <row r="495" spans="1:20" ht="18.75" customHeight="1">
      <c r="A495" s="1133" t="s">
        <v>165</v>
      </c>
      <c r="B495" s="1133" t="s">
        <v>166</v>
      </c>
      <c r="C495" s="270">
        <f>(251613+251613)</f>
        <v>503226</v>
      </c>
      <c r="D495" s="193">
        <f>(27957+27957)</f>
        <v>55914</v>
      </c>
      <c r="E495" s="270">
        <v>503226</v>
      </c>
      <c r="F495" s="193">
        <v>55914</v>
      </c>
      <c r="G495" s="370">
        <v>559140</v>
      </c>
      <c r="H495" s="318">
        <v>95476.5</v>
      </c>
      <c r="I495" s="319">
        <v>95476.5</v>
      </c>
      <c r="J495" s="319">
        <v>10608.5</v>
      </c>
      <c r="K495" s="320">
        <v>10608.5</v>
      </c>
      <c r="L495" s="1158">
        <f>SUM(H495:K499)</f>
        <v>531183.0000000001</v>
      </c>
      <c r="M495" s="1154">
        <f>L495/E496*100</f>
        <v>95.00000000000001</v>
      </c>
      <c r="N495" s="1160">
        <v>350082</v>
      </c>
      <c r="O495" s="1160">
        <f>N495/E495*100</f>
        <v>69.56755016632687</v>
      </c>
      <c r="P495" s="1160">
        <f>207536+37963+37963+33310*2</f>
        <v>350082</v>
      </c>
      <c r="Q495" s="1083">
        <f>P495/E495*100</f>
        <v>69.56755016632687</v>
      </c>
      <c r="R495" s="840">
        <f>E495+F495</f>
        <v>559140</v>
      </c>
      <c r="S495" s="1154">
        <f>P495/E495*100</f>
        <v>69.56755016632687</v>
      </c>
      <c r="T495" s="1154">
        <f>N495/SUM(H495:I499)*100</f>
        <v>73.2290001750809</v>
      </c>
    </row>
    <row r="496" spans="1:20" ht="24" customHeight="1" thickBot="1">
      <c r="A496" s="1134"/>
      <c r="B496" s="1134"/>
      <c r="C496" s="1135">
        <f>C495+D495</f>
        <v>559140</v>
      </c>
      <c r="D496" s="1136"/>
      <c r="E496" s="1135">
        <v>559140</v>
      </c>
      <c r="F496" s="1136"/>
      <c r="G496" s="388">
        <v>559140</v>
      </c>
      <c r="H496" s="328">
        <v>69877.34</v>
      </c>
      <c r="I496" s="329">
        <v>69877.34</v>
      </c>
      <c r="J496" s="329">
        <v>7764.15</v>
      </c>
      <c r="K496" s="330">
        <v>7764.14</v>
      </c>
      <c r="L496" s="1159"/>
      <c r="M496" s="1155"/>
      <c r="N496" s="1161"/>
      <c r="O496" s="1161"/>
      <c r="P496" s="1161"/>
      <c r="Q496" s="1085"/>
      <c r="R496" s="839">
        <f>E496</f>
        <v>559140</v>
      </c>
      <c r="S496" s="1155"/>
      <c r="T496" s="1155"/>
    </row>
    <row r="497" spans="1:20" ht="24" customHeight="1">
      <c r="A497" s="1134"/>
      <c r="B497" s="1134"/>
      <c r="C497" s="1137"/>
      <c r="D497" s="1138"/>
      <c r="E497" s="1137"/>
      <c r="F497" s="1138"/>
      <c r="G497" s="382"/>
      <c r="H497" s="328">
        <v>39059.27</v>
      </c>
      <c r="I497" s="329">
        <v>39059.27</v>
      </c>
      <c r="J497" s="329">
        <v>4339.93</v>
      </c>
      <c r="K497" s="330">
        <v>4339.92</v>
      </c>
      <c r="L497" s="1159"/>
      <c r="M497" s="1155"/>
      <c r="N497" s="1161"/>
      <c r="O497" s="1161"/>
      <c r="P497" s="1161"/>
      <c r="Q497" s="838"/>
      <c r="R497" s="839"/>
      <c r="S497" s="1155"/>
      <c r="T497" s="1155"/>
    </row>
    <row r="498" spans="1:20" ht="24" customHeight="1">
      <c r="A498" s="1134"/>
      <c r="B498" s="1134"/>
      <c r="C498" s="1137"/>
      <c r="D498" s="1138"/>
      <c r="E498" s="1137"/>
      <c r="F498" s="1138"/>
      <c r="G498" s="382"/>
      <c r="H498" s="328">
        <v>30377.47</v>
      </c>
      <c r="I498" s="329">
        <v>30377.47</v>
      </c>
      <c r="J498" s="329">
        <v>3375.27</v>
      </c>
      <c r="K498" s="330">
        <v>3375.27</v>
      </c>
      <c r="L498" s="1159"/>
      <c r="M498" s="1155"/>
      <c r="N498" s="1161"/>
      <c r="O498" s="1161"/>
      <c r="P498" s="1161"/>
      <c r="Q498" s="838"/>
      <c r="R498" s="839"/>
      <c r="S498" s="1155"/>
      <c r="T498" s="1155"/>
    </row>
    <row r="499" spans="1:20" ht="24" customHeight="1" thickBot="1">
      <c r="A499" s="1090"/>
      <c r="B499" s="1090"/>
      <c r="C499" s="1139"/>
      <c r="D499" s="1140"/>
      <c r="E499" s="1139"/>
      <c r="F499" s="1140"/>
      <c r="G499" s="388"/>
      <c r="H499" s="875">
        <v>4241.77</v>
      </c>
      <c r="I499" s="876">
        <v>4241.77</v>
      </c>
      <c r="J499" s="876">
        <v>471.31</v>
      </c>
      <c r="K499" s="877">
        <v>471.31</v>
      </c>
      <c r="L499" s="1113"/>
      <c r="M499" s="1108"/>
      <c r="N499" s="1126"/>
      <c r="O499" s="1126"/>
      <c r="P499" s="1126"/>
      <c r="Q499" s="842"/>
      <c r="R499" s="841"/>
      <c r="S499" s="1108"/>
      <c r="T499" s="1108"/>
    </row>
    <row r="500" spans="1:20" ht="19.5" customHeight="1">
      <c r="A500" s="1134" t="s">
        <v>179</v>
      </c>
      <c r="B500" s="1134" t="s">
        <v>180</v>
      </c>
      <c r="C500" s="272">
        <f>123631+123630</f>
        <v>247261</v>
      </c>
      <c r="D500" s="271">
        <f>21817*2</f>
        <v>43634</v>
      </c>
      <c r="E500" s="272">
        <v>247261</v>
      </c>
      <c r="F500" s="271">
        <v>43634</v>
      </c>
      <c r="G500" s="371">
        <v>290895</v>
      </c>
      <c r="H500" s="878">
        <v>49452.15</v>
      </c>
      <c r="I500" s="879">
        <v>49452.15</v>
      </c>
      <c r="J500" s="879">
        <v>8726.85</v>
      </c>
      <c r="K500" s="880">
        <v>8726.85</v>
      </c>
      <c r="L500" s="1159">
        <f>SUM(H500:K505)</f>
        <v>276350.25000000006</v>
      </c>
      <c r="M500" s="1155">
        <f>L500/E501*100</f>
        <v>95.00000000000001</v>
      </c>
      <c r="N500" s="1161">
        <f>171089</f>
        <v>171089</v>
      </c>
      <c r="O500" s="1161">
        <f>N500/E500*100</f>
        <v>69.19368602407981</v>
      </c>
      <c r="P500" s="1161">
        <f>47346+13349+13350+12537*2+6900+6899+29085+29086</f>
        <v>171089</v>
      </c>
      <c r="Q500" s="1028">
        <f>P500/E500*100</f>
        <v>69.19368602407981</v>
      </c>
      <c r="R500" s="779">
        <f>E500+F500</f>
        <v>290895</v>
      </c>
      <c r="S500" s="1155">
        <f>P500/E500*100</f>
        <v>69.19368602407981</v>
      </c>
      <c r="T500" s="1155">
        <f>N500/SUM(H500:I505)*100</f>
        <v>72.8354589727156</v>
      </c>
    </row>
    <row r="501" spans="1:20" ht="19.5" customHeight="1" thickBot="1">
      <c r="A501" s="1134"/>
      <c r="B501" s="1134"/>
      <c r="C501" s="1135">
        <f>C500+D500</f>
        <v>290895</v>
      </c>
      <c r="D501" s="1136"/>
      <c r="E501" s="1119">
        <v>290895</v>
      </c>
      <c r="F501" s="1065"/>
      <c r="G501" s="388">
        <v>290895</v>
      </c>
      <c r="H501" s="328">
        <v>20720.72</v>
      </c>
      <c r="I501" s="329">
        <v>20720.72</v>
      </c>
      <c r="J501" s="329">
        <v>3656.6</v>
      </c>
      <c r="K501" s="330">
        <v>3656.6</v>
      </c>
      <c r="L501" s="1159"/>
      <c r="M501" s="1155"/>
      <c r="N501" s="1161"/>
      <c r="O501" s="1161"/>
      <c r="P501" s="1161"/>
      <c r="Q501" s="1085"/>
      <c r="R501" s="779">
        <f>E501</f>
        <v>290895</v>
      </c>
      <c r="S501" s="1155"/>
      <c r="T501" s="1155"/>
    </row>
    <row r="502" spans="1:20" ht="19.5" customHeight="1">
      <c r="A502" s="1134"/>
      <c r="B502" s="1134"/>
      <c r="C502" s="1144"/>
      <c r="D502" s="1145"/>
      <c r="E502" s="1121"/>
      <c r="F502" s="1058"/>
      <c r="G502" s="382"/>
      <c r="H502" s="328">
        <v>3904.24</v>
      </c>
      <c r="I502" s="329">
        <v>3904.24</v>
      </c>
      <c r="J502" s="329">
        <v>688.98</v>
      </c>
      <c r="K502" s="330">
        <v>688.98</v>
      </c>
      <c r="L502" s="1159"/>
      <c r="M502" s="1155"/>
      <c r="N502" s="1161"/>
      <c r="O502" s="1161"/>
      <c r="P502" s="1161"/>
      <c r="Q502" s="838"/>
      <c r="R502" s="779"/>
      <c r="S502" s="1155"/>
      <c r="T502" s="1155"/>
    </row>
    <row r="503" spans="1:20" ht="19.5" customHeight="1">
      <c r="A503" s="1067"/>
      <c r="B503" s="1067"/>
      <c r="C503" s="1144"/>
      <c r="D503" s="1145"/>
      <c r="E503" s="1144"/>
      <c r="F503" s="1106"/>
      <c r="G503" s="382"/>
      <c r="H503" s="328">
        <v>1308.57</v>
      </c>
      <c r="I503" s="329">
        <v>1308.57</v>
      </c>
      <c r="J503" s="329">
        <v>230.93</v>
      </c>
      <c r="K503" s="330">
        <v>230.92</v>
      </c>
      <c r="L503" s="1156"/>
      <c r="M503" s="1156"/>
      <c r="N503" s="1156"/>
      <c r="O503" s="1156"/>
      <c r="P503" s="1156"/>
      <c r="Q503" s="838"/>
      <c r="R503" s="779"/>
      <c r="S503" s="1156"/>
      <c r="T503" s="1156"/>
    </row>
    <row r="504" spans="1:20" ht="19.5" customHeight="1">
      <c r="A504" s="1067"/>
      <c r="B504" s="1067"/>
      <c r="C504" s="1144"/>
      <c r="D504" s="1145"/>
      <c r="E504" s="1144"/>
      <c r="F504" s="1106"/>
      <c r="G504" s="382"/>
      <c r="H504" s="878">
        <v>30524.65</v>
      </c>
      <c r="I504" s="879">
        <v>30524.65</v>
      </c>
      <c r="J504" s="879">
        <v>5386.71</v>
      </c>
      <c r="K504" s="880">
        <v>5386.7</v>
      </c>
      <c r="L504" s="1156"/>
      <c r="M504" s="1156"/>
      <c r="N504" s="1156"/>
      <c r="O504" s="1156"/>
      <c r="P504" s="1156"/>
      <c r="Q504" s="838"/>
      <c r="R504" s="779"/>
      <c r="S504" s="1156"/>
      <c r="T504" s="1156"/>
    </row>
    <row r="505" spans="1:20" ht="19.5" customHeight="1" thickBot="1">
      <c r="A505" s="1128"/>
      <c r="B505" s="1128"/>
      <c r="C505" s="1146"/>
      <c r="D505" s="1147"/>
      <c r="E505" s="1146"/>
      <c r="F505" s="1107"/>
      <c r="G505" s="382"/>
      <c r="H505" s="878">
        <v>11539.12</v>
      </c>
      <c r="I505" s="879">
        <v>11538.17</v>
      </c>
      <c r="J505" s="879">
        <v>2036.08</v>
      </c>
      <c r="K505" s="880">
        <v>2036.1</v>
      </c>
      <c r="L505" s="1132"/>
      <c r="M505" s="1132"/>
      <c r="N505" s="1132"/>
      <c r="O505" s="1132"/>
      <c r="P505" s="1132"/>
      <c r="Q505" s="838"/>
      <c r="R505" s="779"/>
      <c r="S505" s="1132"/>
      <c r="T505" s="1132"/>
    </row>
    <row r="506" spans="1:20" ht="32.25" customHeight="1">
      <c r="A506" s="1133" t="s">
        <v>154</v>
      </c>
      <c r="B506" s="1133" t="s">
        <v>155</v>
      </c>
      <c r="C506" s="261">
        <v>399466</v>
      </c>
      <c r="D506" s="193">
        <v>70494</v>
      </c>
      <c r="E506" s="268">
        <v>399466</v>
      </c>
      <c r="F506" s="290">
        <v>70494</v>
      </c>
      <c r="G506" s="358">
        <v>469960</v>
      </c>
      <c r="H506" s="318">
        <v>0</v>
      </c>
      <c r="I506" s="319">
        <v>159786.4</v>
      </c>
      <c r="J506" s="319">
        <v>0</v>
      </c>
      <c r="K506" s="320">
        <v>28197.6</v>
      </c>
      <c r="L506" s="1158">
        <f>SUM(H506:K509)</f>
        <v>446462</v>
      </c>
      <c r="M506" s="1154">
        <f>L506/E507*100</f>
        <v>95</v>
      </c>
      <c r="N506" s="1077">
        <f>33775+73674+82121</f>
        <v>189570</v>
      </c>
      <c r="O506" s="1077">
        <f>N506/E506*100</f>
        <v>47.45585356450862</v>
      </c>
      <c r="P506" s="1077">
        <v>107449</v>
      </c>
      <c r="Q506" s="1083">
        <f>P506/E506*100</f>
        <v>26.898159042321502</v>
      </c>
      <c r="R506" s="779">
        <f>E506+F506</f>
        <v>469960</v>
      </c>
      <c r="S506" s="1114">
        <f>P506/E506*100</f>
        <v>26.898159042321502</v>
      </c>
      <c r="T506" s="1114">
        <f>N506/SUM(H506:I509)*100</f>
        <v>49.953530067903806</v>
      </c>
    </row>
    <row r="507" spans="1:20" ht="32.25" customHeight="1" thickBot="1">
      <c r="A507" s="1134"/>
      <c r="B507" s="1134"/>
      <c r="C507" s="1148">
        <f>C506+D506</f>
        <v>469960</v>
      </c>
      <c r="D507" s="1149"/>
      <c r="E507" s="1148">
        <v>469960</v>
      </c>
      <c r="F507" s="1149"/>
      <c r="G507" s="392">
        <v>469960</v>
      </c>
      <c r="H507" s="328">
        <v>0</v>
      </c>
      <c r="I507" s="329">
        <v>33772.6</v>
      </c>
      <c r="J507" s="329">
        <v>0</v>
      </c>
      <c r="K507" s="330">
        <v>5959.87</v>
      </c>
      <c r="L507" s="1159"/>
      <c r="M507" s="1155"/>
      <c r="N507" s="1075"/>
      <c r="O507" s="1075"/>
      <c r="P507" s="1075"/>
      <c r="Q507" s="1085"/>
      <c r="R507" s="779">
        <f>E507</f>
        <v>469960</v>
      </c>
      <c r="S507" s="1115"/>
      <c r="T507" s="1115"/>
    </row>
    <row r="508" spans="1:20" ht="32.25" customHeight="1">
      <c r="A508" s="1134"/>
      <c r="B508" s="1134"/>
      <c r="C508" s="1150"/>
      <c r="D508" s="1151"/>
      <c r="E508" s="1150"/>
      <c r="F508" s="1151"/>
      <c r="G508" s="747"/>
      <c r="H508" s="328">
        <v>0</v>
      </c>
      <c r="I508" s="329">
        <v>73676.58</v>
      </c>
      <c r="J508" s="329">
        <v>0</v>
      </c>
      <c r="K508" s="330">
        <v>13001.75</v>
      </c>
      <c r="L508" s="1159"/>
      <c r="M508" s="1155"/>
      <c r="N508" s="1075"/>
      <c r="O508" s="1075"/>
      <c r="P508" s="1075"/>
      <c r="Q508" s="838"/>
      <c r="R508" s="779"/>
      <c r="S508" s="1115"/>
      <c r="T508" s="1115"/>
    </row>
    <row r="509" spans="1:20" ht="32.25" customHeight="1" thickBot="1">
      <c r="A509" s="1090"/>
      <c r="B509" s="1090"/>
      <c r="C509" s="1152"/>
      <c r="D509" s="1153"/>
      <c r="E509" s="1152"/>
      <c r="F509" s="1153"/>
      <c r="G509" s="747"/>
      <c r="H509" s="710">
        <v>0</v>
      </c>
      <c r="I509" s="711">
        <v>112257.12</v>
      </c>
      <c r="J509" s="711">
        <v>0</v>
      </c>
      <c r="K509" s="712">
        <v>19810.08</v>
      </c>
      <c r="L509" s="1113"/>
      <c r="M509" s="1108"/>
      <c r="N509" s="1076"/>
      <c r="O509" s="1076"/>
      <c r="P509" s="1076"/>
      <c r="Q509" s="838"/>
      <c r="R509" s="779"/>
      <c r="S509" s="1116"/>
      <c r="T509" s="1116"/>
    </row>
    <row r="510" spans="1:20" ht="24" customHeight="1">
      <c r="A510" s="1133" t="s">
        <v>192</v>
      </c>
      <c r="B510" s="1133" t="s">
        <v>193</v>
      </c>
      <c r="C510" s="272">
        <f>111596+111595</f>
        <v>223191</v>
      </c>
      <c r="D510" s="271">
        <f>19693.5*2</f>
        <v>39387</v>
      </c>
      <c r="E510" s="319">
        <v>223191</v>
      </c>
      <c r="F510" s="352">
        <v>39387</v>
      </c>
      <c r="G510" s="389">
        <v>262578</v>
      </c>
      <c r="H510" s="318">
        <v>44637.75</v>
      </c>
      <c r="I510" s="319">
        <v>44637.75</v>
      </c>
      <c r="J510" s="319">
        <v>7877.25</v>
      </c>
      <c r="K510" s="320">
        <v>7877.25</v>
      </c>
      <c r="L510" s="1158">
        <f>SUM(H510:K514)</f>
        <v>220543.77999999997</v>
      </c>
      <c r="M510" s="1154">
        <f>L510/E511*100</f>
        <v>83.99172055541591</v>
      </c>
      <c r="N510" s="1160">
        <f>152443+3991+3992</f>
        <v>160426</v>
      </c>
      <c r="O510" s="1160">
        <f>N510/E510*100</f>
        <v>71.87834634909113</v>
      </c>
      <c r="P510" s="1160">
        <f>152443+3992+3991</f>
        <v>160426</v>
      </c>
      <c r="Q510" s="1083">
        <f>P510/E510*100</f>
        <v>71.87834634909113</v>
      </c>
      <c r="R510" s="779">
        <f>E510+F510</f>
        <v>262578</v>
      </c>
      <c r="S510" s="1154">
        <f>P510/E510*100</f>
        <v>71.87834634909113</v>
      </c>
      <c r="T510" s="1154">
        <f>N510/SUM(H510:I514)*100</f>
        <v>85.57778581495364</v>
      </c>
    </row>
    <row r="511" spans="1:20" ht="24" customHeight="1" thickBot="1">
      <c r="A511" s="1134"/>
      <c r="B511" s="1134"/>
      <c r="C511" s="1135">
        <f>C510+D510</f>
        <v>262578</v>
      </c>
      <c r="D511" s="1136"/>
      <c r="E511" s="1129">
        <v>262578</v>
      </c>
      <c r="F511" s="1109"/>
      <c r="G511" s="390">
        <v>262578</v>
      </c>
      <c r="H511" s="328">
        <v>34000</v>
      </c>
      <c r="I511" s="329">
        <v>34000</v>
      </c>
      <c r="J511" s="329">
        <v>6000</v>
      </c>
      <c r="K511" s="330">
        <v>6000</v>
      </c>
      <c r="L511" s="1159"/>
      <c r="M511" s="1155"/>
      <c r="N511" s="1161"/>
      <c r="O511" s="1161"/>
      <c r="P511" s="1161"/>
      <c r="Q511" s="1085"/>
      <c r="R511" s="779">
        <f>E511</f>
        <v>262578</v>
      </c>
      <c r="S511" s="1155"/>
      <c r="T511" s="1155"/>
    </row>
    <row r="512" spans="1:20" ht="24" customHeight="1">
      <c r="A512" s="1134"/>
      <c r="B512" s="1134"/>
      <c r="C512" s="1144"/>
      <c r="D512" s="1145"/>
      <c r="E512" s="1131"/>
      <c r="F512" s="1110"/>
      <c r="G512" s="380"/>
      <c r="H512" s="328">
        <v>2892.49</v>
      </c>
      <c r="I512" s="329">
        <v>2892.49</v>
      </c>
      <c r="J512" s="329">
        <v>510.45</v>
      </c>
      <c r="K512" s="330">
        <v>510.44</v>
      </c>
      <c r="L512" s="1159"/>
      <c r="M512" s="1155"/>
      <c r="N512" s="1161"/>
      <c r="O512" s="1161"/>
      <c r="P512" s="1161"/>
      <c r="Q512" s="838"/>
      <c r="R512" s="779"/>
      <c r="S512" s="1155"/>
      <c r="T512" s="1155"/>
    </row>
    <row r="513" spans="1:20" ht="24" customHeight="1">
      <c r="A513" s="1067"/>
      <c r="B513" s="1067"/>
      <c r="C513" s="1144"/>
      <c r="D513" s="1145"/>
      <c r="E513" s="1144"/>
      <c r="F513" s="1106"/>
      <c r="G513" s="380"/>
      <c r="H513" s="328">
        <v>9565.86</v>
      </c>
      <c r="I513" s="329">
        <v>9565.86</v>
      </c>
      <c r="J513" s="329">
        <v>1688.1</v>
      </c>
      <c r="K513" s="330">
        <v>1688.09</v>
      </c>
      <c r="L513" s="1156"/>
      <c r="M513" s="1156"/>
      <c r="N513" s="1156"/>
      <c r="O513" s="1156"/>
      <c r="P513" s="1156"/>
      <c r="Q513" s="838"/>
      <c r="R513" s="779"/>
      <c r="S513" s="1156"/>
      <c r="T513" s="1156"/>
    </row>
    <row r="514" spans="1:20" ht="24" customHeight="1" thickBot="1">
      <c r="A514" s="1128"/>
      <c r="B514" s="1128"/>
      <c r="C514" s="1146"/>
      <c r="D514" s="1147"/>
      <c r="E514" s="1146"/>
      <c r="F514" s="1107"/>
      <c r="G514" s="380"/>
      <c r="H514" s="710">
        <v>2635</v>
      </c>
      <c r="I514" s="711">
        <v>2635</v>
      </c>
      <c r="J514" s="711">
        <v>465</v>
      </c>
      <c r="K514" s="712">
        <v>465</v>
      </c>
      <c r="L514" s="1132"/>
      <c r="M514" s="1132"/>
      <c r="N514" s="1132"/>
      <c r="O514" s="1132"/>
      <c r="P514" s="1132"/>
      <c r="Q514" s="838"/>
      <c r="R514" s="779"/>
      <c r="S514" s="1132"/>
      <c r="T514" s="1132"/>
    </row>
    <row r="515" spans="1:20" ht="23.25" customHeight="1">
      <c r="A515" s="1133" t="s">
        <v>177</v>
      </c>
      <c r="B515" s="1097" t="s">
        <v>178</v>
      </c>
      <c r="C515" s="261">
        <v>480185</v>
      </c>
      <c r="D515" s="193">
        <v>84739</v>
      </c>
      <c r="E515" s="318">
        <v>480185</v>
      </c>
      <c r="F515" s="320">
        <v>84739</v>
      </c>
      <c r="G515" s="372">
        <v>564924</v>
      </c>
      <c r="H515" s="318">
        <v>0</v>
      </c>
      <c r="I515" s="319">
        <v>192074.16</v>
      </c>
      <c r="J515" s="319">
        <v>0</v>
      </c>
      <c r="K515" s="320">
        <v>33895.44</v>
      </c>
      <c r="L515" s="1158">
        <f>SUM(H515:K519)</f>
        <v>535151.3300000001</v>
      </c>
      <c r="M515" s="1154">
        <f>L515/E516*100</f>
        <v>94.72979197201748</v>
      </c>
      <c r="N515" s="1077">
        <f>44912+126331+23710+119816+73134+28246</f>
        <v>416149</v>
      </c>
      <c r="O515" s="1077">
        <f>N515/E515*100</f>
        <v>86.66430646521654</v>
      </c>
      <c r="P515" s="1077">
        <f>44912+126331+23710+119816</f>
        <v>314769</v>
      </c>
      <c r="Q515" s="1083">
        <f>P515/E515*100</f>
        <v>65.55161031685705</v>
      </c>
      <c r="R515" s="779">
        <f>E515+F515</f>
        <v>564924</v>
      </c>
      <c r="S515" s="1114">
        <f>P515/E515*100</f>
        <v>65.55161031685705</v>
      </c>
      <c r="T515" s="1114">
        <f>N515/SUM(H515:I519)*100</f>
        <v>91.48572425760526</v>
      </c>
    </row>
    <row r="516" spans="1:20" ht="32.25" customHeight="1" thickBot="1">
      <c r="A516" s="1134"/>
      <c r="B516" s="1059"/>
      <c r="C516" s="1148">
        <f>C515+D515</f>
        <v>564924</v>
      </c>
      <c r="D516" s="1149"/>
      <c r="E516" s="1111">
        <v>564924</v>
      </c>
      <c r="F516" s="1112"/>
      <c r="G516" s="380">
        <v>564924</v>
      </c>
      <c r="H516" s="328">
        <v>0</v>
      </c>
      <c r="I516" s="329">
        <v>17393.46</v>
      </c>
      <c r="J516" s="329">
        <v>0</v>
      </c>
      <c r="K516" s="330">
        <v>3069.44</v>
      </c>
      <c r="L516" s="1159"/>
      <c r="M516" s="1155"/>
      <c r="N516" s="1075"/>
      <c r="O516" s="1075"/>
      <c r="P516" s="1075"/>
      <c r="Q516" s="1085"/>
      <c r="R516" s="779">
        <f>E516</f>
        <v>564924</v>
      </c>
      <c r="S516" s="1115"/>
      <c r="T516" s="1115"/>
    </row>
    <row r="517" spans="1:20" ht="32.25" customHeight="1">
      <c r="A517" s="1134"/>
      <c r="B517" s="1059"/>
      <c r="C517" s="1150"/>
      <c r="D517" s="1151"/>
      <c r="E517" s="1093"/>
      <c r="F517" s="1094"/>
      <c r="G517" s="380"/>
      <c r="H517" s="328">
        <v>0</v>
      </c>
      <c r="I517" s="329">
        <v>130608.86</v>
      </c>
      <c r="J517" s="329">
        <v>0</v>
      </c>
      <c r="K517" s="330">
        <v>23048.62</v>
      </c>
      <c r="L517" s="1159"/>
      <c r="M517" s="1155"/>
      <c r="N517" s="1075"/>
      <c r="O517" s="1075"/>
      <c r="P517" s="1075"/>
      <c r="Q517" s="838"/>
      <c r="R517" s="779"/>
      <c r="S517" s="1115"/>
      <c r="T517" s="1115"/>
    </row>
    <row r="518" spans="1:20" ht="32.25" customHeight="1">
      <c r="A518" s="1134"/>
      <c r="B518" s="1059"/>
      <c r="C518" s="1150"/>
      <c r="D518" s="1151"/>
      <c r="E518" s="1093"/>
      <c r="F518" s="1094"/>
      <c r="G518" s="380"/>
      <c r="H518" s="328">
        <v>0</v>
      </c>
      <c r="I518" s="329">
        <v>46952</v>
      </c>
      <c r="J518" s="329">
        <v>0</v>
      </c>
      <c r="K518" s="330">
        <v>8285.65</v>
      </c>
      <c r="L518" s="1159"/>
      <c r="M518" s="1155"/>
      <c r="N518" s="1075"/>
      <c r="O518" s="1075"/>
      <c r="P518" s="1075"/>
      <c r="Q518" s="838"/>
      <c r="R518" s="779"/>
      <c r="S518" s="1115"/>
      <c r="T518" s="1115"/>
    </row>
    <row r="519" spans="1:20" ht="32.25" customHeight="1" thickBot="1">
      <c r="A519" s="1090"/>
      <c r="B519" s="1060"/>
      <c r="C519" s="1152"/>
      <c r="D519" s="1153"/>
      <c r="E519" s="1095"/>
      <c r="F519" s="1096"/>
      <c r="G519" s="380"/>
      <c r="H519" s="710">
        <v>0</v>
      </c>
      <c r="I519" s="711">
        <v>67850.14</v>
      </c>
      <c r="J519" s="711">
        <v>0</v>
      </c>
      <c r="K519" s="712">
        <v>11973.56</v>
      </c>
      <c r="L519" s="1113"/>
      <c r="M519" s="1108"/>
      <c r="N519" s="1076"/>
      <c r="O519" s="1076"/>
      <c r="P519" s="1076"/>
      <c r="Q519" s="838"/>
      <c r="R519" s="779"/>
      <c r="S519" s="1116"/>
      <c r="T519" s="1116"/>
    </row>
    <row r="520" spans="1:20" ht="21.75" customHeight="1">
      <c r="A520" s="1133" t="s">
        <v>144</v>
      </c>
      <c r="B520" s="1133" t="s">
        <v>219</v>
      </c>
      <c r="C520" s="261">
        <f>458742+458741</f>
        <v>917483</v>
      </c>
      <c r="D520" s="193">
        <f>80954.5*2</f>
        <v>161909</v>
      </c>
      <c r="E520" s="318">
        <v>917483</v>
      </c>
      <c r="F520" s="320">
        <v>161909</v>
      </c>
      <c r="G520" s="372">
        <v>1079392</v>
      </c>
      <c r="H520" s="318">
        <v>761.8</v>
      </c>
      <c r="I520" s="319">
        <v>761.8</v>
      </c>
      <c r="J520" s="319">
        <v>134.43</v>
      </c>
      <c r="K520" s="320">
        <v>134.43</v>
      </c>
      <c r="L520" s="1158">
        <f>SUM(H520:K530)</f>
        <v>861499.16</v>
      </c>
      <c r="M520" s="1069">
        <f>L520/E521</f>
        <v>0.7981337271352762</v>
      </c>
      <c r="N520" s="1160">
        <f>7342+58673+83233+217224+217223</f>
        <v>583695</v>
      </c>
      <c r="O520" s="1160">
        <f>N520/E520*100</f>
        <v>63.61916242589781</v>
      </c>
      <c r="P520" s="1160">
        <f>66015+41617+41616+217223+217224</f>
        <v>583695</v>
      </c>
      <c r="Q520" s="838"/>
      <c r="R520" s="779">
        <f>E520+F520</f>
        <v>1079392</v>
      </c>
      <c r="S520" s="1154">
        <f>P520/E520*100</f>
        <v>63.61916242589781</v>
      </c>
      <c r="T520" s="1154">
        <f>N520/SUM(H520:I530)*100</f>
        <v>79.70989337846686</v>
      </c>
    </row>
    <row r="521" spans="1:20" ht="21.75" customHeight="1">
      <c r="A521" s="1134"/>
      <c r="B521" s="1134"/>
      <c r="C521" s="1135">
        <f>C520+D520</f>
        <v>1079392</v>
      </c>
      <c r="D521" s="1136"/>
      <c r="E521" s="1129">
        <v>1079392</v>
      </c>
      <c r="F521" s="1130"/>
      <c r="G521" s="380">
        <v>1079392</v>
      </c>
      <c r="H521" s="328">
        <v>27796.76</v>
      </c>
      <c r="I521" s="329">
        <v>27796.76</v>
      </c>
      <c r="J521" s="329">
        <v>4905.31</v>
      </c>
      <c r="K521" s="330">
        <v>4905.31</v>
      </c>
      <c r="L521" s="1159"/>
      <c r="M521" s="1070"/>
      <c r="N521" s="1161"/>
      <c r="O521" s="1161"/>
      <c r="P521" s="1161"/>
      <c r="Q521" s="838"/>
      <c r="R521" s="779">
        <f>E521</f>
        <v>1079392</v>
      </c>
      <c r="S521" s="1155"/>
      <c r="T521" s="1155"/>
    </row>
    <row r="522" spans="1:20" ht="19.5" customHeight="1">
      <c r="A522" s="1134"/>
      <c r="B522" s="1134"/>
      <c r="C522" s="1137"/>
      <c r="D522" s="1138"/>
      <c r="E522" s="1131"/>
      <c r="F522" s="1118"/>
      <c r="G522" s="380"/>
      <c r="H522" s="802">
        <v>2909.64</v>
      </c>
      <c r="I522" s="674">
        <v>2909.64</v>
      </c>
      <c r="J522" s="674">
        <v>513.47</v>
      </c>
      <c r="K522" s="330">
        <v>513.47</v>
      </c>
      <c r="L522" s="1159"/>
      <c r="M522" s="1070"/>
      <c r="N522" s="1161"/>
      <c r="O522" s="1161"/>
      <c r="P522" s="1161"/>
      <c r="Q522" s="838"/>
      <c r="R522" s="779"/>
      <c r="S522" s="1155"/>
      <c r="T522" s="1155"/>
    </row>
    <row r="523" spans="1:20" ht="20.25" customHeight="1">
      <c r="A523" s="1134"/>
      <c r="B523" s="1134"/>
      <c r="C523" s="1137"/>
      <c r="D523" s="1138"/>
      <c r="E523" s="1131"/>
      <c r="F523" s="1118"/>
      <c r="G523" s="380"/>
      <c r="H523" s="802">
        <v>40111.22</v>
      </c>
      <c r="I523" s="674">
        <v>40111.22</v>
      </c>
      <c r="J523" s="674">
        <v>7078.46</v>
      </c>
      <c r="K523" s="330">
        <v>7078.45</v>
      </c>
      <c r="L523" s="1159"/>
      <c r="M523" s="1070"/>
      <c r="N523" s="1161"/>
      <c r="O523" s="1161"/>
      <c r="P523" s="1161"/>
      <c r="Q523" s="838"/>
      <c r="R523" s="779"/>
      <c r="S523" s="1155"/>
      <c r="T523" s="1155"/>
    </row>
    <row r="524" spans="1:20" ht="20.25" customHeight="1">
      <c r="A524" s="1134"/>
      <c r="B524" s="1134"/>
      <c r="C524" s="1137"/>
      <c r="D524" s="1138"/>
      <c r="E524" s="1131"/>
      <c r="F524" s="1118"/>
      <c r="G524" s="380"/>
      <c r="H524" s="802">
        <v>1539.54</v>
      </c>
      <c r="I524" s="674">
        <f>H524</f>
        <v>1539.54</v>
      </c>
      <c r="J524" s="674">
        <v>271.69</v>
      </c>
      <c r="K524" s="330">
        <v>271.68</v>
      </c>
      <c r="L524" s="1159"/>
      <c r="M524" s="1070"/>
      <c r="N524" s="1161"/>
      <c r="O524" s="1161"/>
      <c r="P524" s="1161"/>
      <c r="Q524" s="838"/>
      <c r="R524" s="779"/>
      <c r="S524" s="1155"/>
      <c r="T524" s="1155"/>
    </row>
    <row r="525" spans="1:20" ht="18.75" customHeight="1">
      <c r="A525" s="1067"/>
      <c r="B525" s="1067"/>
      <c r="C525" s="1144"/>
      <c r="D525" s="1145"/>
      <c r="E525" s="1144"/>
      <c r="F525" s="1145"/>
      <c r="G525" s="380"/>
      <c r="H525" s="802">
        <v>84200.91</v>
      </c>
      <c r="I525" s="674">
        <v>84200.91</v>
      </c>
      <c r="J525" s="674">
        <v>14859</v>
      </c>
      <c r="K525" s="330">
        <v>14858.99</v>
      </c>
      <c r="L525" s="1156"/>
      <c r="M525" s="1066"/>
      <c r="N525" s="1156"/>
      <c r="O525" s="1156"/>
      <c r="P525" s="1156"/>
      <c r="Q525" s="838"/>
      <c r="R525" s="779"/>
      <c r="S525" s="1156"/>
      <c r="T525" s="1156"/>
    </row>
    <row r="526" spans="1:20" ht="18.75" customHeight="1">
      <c r="A526" s="1067"/>
      <c r="B526" s="1067"/>
      <c r="C526" s="1144"/>
      <c r="D526" s="1145"/>
      <c r="E526" s="1144"/>
      <c r="F526" s="1145"/>
      <c r="G526" s="380"/>
      <c r="H526" s="802">
        <v>1505.52</v>
      </c>
      <c r="I526" s="674">
        <v>1505.52</v>
      </c>
      <c r="J526" s="674">
        <v>265.68</v>
      </c>
      <c r="K526" s="330">
        <v>265.68</v>
      </c>
      <c r="L526" s="1156"/>
      <c r="M526" s="1066"/>
      <c r="N526" s="1156"/>
      <c r="O526" s="1156"/>
      <c r="P526" s="1156"/>
      <c r="Q526" s="838"/>
      <c r="R526" s="779"/>
      <c r="S526" s="1156"/>
      <c r="T526" s="1156"/>
    </row>
    <row r="527" spans="1:20" ht="18.75" customHeight="1">
      <c r="A527" s="1067"/>
      <c r="B527" s="1067"/>
      <c r="C527" s="1144"/>
      <c r="D527" s="1145"/>
      <c r="E527" s="1144"/>
      <c r="F527" s="1145"/>
      <c r="G527" s="380"/>
      <c r="H527" s="802">
        <v>131251.87</v>
      </c>
      <c r="I527" s="674">
        <v>131251.87</v>
      </c>
      <c r="J527" s="674">
        <v>23162.1</v>
      </c>
      <c r="K527" s="330">
        <v>23162.1</v>
      </c>
      <c r="L527" s="1156"/>
      <c r="M527" s="1066"/>
      <c r="N527" s="1156"/>
      <c r="O527" s="1156"/>
      <c r="P527" s="1156"/>
      <c r="Q527" s="838"/>
      <c r="R527" s="779"/>
      <c r="S527" s="1156"/>
      <c r="T527" s="1156"/>
    </row>
    <row r="528" spans="1:20" ht="18.75" customHeight="1">
      <c r="A528" s="1067"/>
      <c r="B528" s="1067"/>
      <c r="C528" s="1144"/>
      <c r="D528" s="1145"/>
      <c r="E528" s="1144"/>
      <c r="F528" s="1145"/>
      <c r="G528" s="380"/>
      <c r="H528" s="802">
        <v>1770.53</v>
      </c>
      <c r="I528" s="674">
        <v>1770.53</v>
      </c>
      <c r="J528" s="674">
        <v>312.46</v>
      </c>
      <c r="K528" s="330">
        <v>312.45</v>
      </c>
      <c r="L528" s="1156"/>
      <c r="M528" s="1156"/>
      <c r="N528" s="1156"/>
      <c r="O528" s="1156"/>
      <c r="P528" s="1156"/>
      <c r="Q528" s="838"/>
      <c r="R528" s="779"/>
      <c r="S528" s="1156"/>
      <c r="T528" s="1156"/>
    </row>
    <row r="529" spans="1:20" ht="18.75" customHeight="1">
      <c r="A529" s="1067"/>
      <c r="B529" s="1067"/>
      <c r="C529" s="1144"/>
      <c r="D529" s="1145"/>
      <c r="E529" s="1144"/>
      <c r="F529" s="1145"/>
      <c r="G529" s="380"/>
      <c r="H529" s="802">
        <v>31125.31</v>
      </c>
      <c r="I529" s="674">
        <v>31125.31</v>
      </c>
      <c r="J529" s="674">
        <v>5492.71</v>
      </c>
      <c r="K529" s="330">
        <v>5492.7</v>
      </c>
      <c r="L529" s="1156"/>
      <c r="M529" s="1156"/>
      <c r="N529" s="1156"/>
      <c r="O529" s="1156"/>
      <c r="P529" s="1156"/>
      <c r="Q529" s="838"/>
      <c r="R529" s="779"/>
      <c r="S529" s="1156"/>
      <c r="T529" s="1156"/>
    </row>
    <row r="530" spans="1:20" ht="18.75" customHeight="1" thickBot="1">
      <c r="A530" s="1128"/>
      <c r="B530" s="1128"/>
      <c r="C530" s="1146"/>
      <c r="D530" s="1147"/>
      <c r="E530" s="1146"/>
      <c r="F530" s="1147"/>
      <c r="G530" s="380"/>
      <c r="H530" s="589">
        <v>43164.01</v>
      </c>
      <c r="I530" s="803">
        <v>43164.01</v>
      </c>
      <c r="J530" s="803">
        <v>7617.19</v>
      </c>
      <c r="K530" s="712">
        <v>7617.18</v>
      </c>
      <c r="L530" s="1157"/>
      <c r="M530" s="1157"/>
      <c r="N530" s="915"/>
      <c r="O530" s="1157"/>
      <c r="P530" s="1157"/>
      <c r="Q530" s="838"/>
      <c r="R530" s="779"/>
      <c r="S530" s="1157"/>
      <c r="T530" s="1157"/>
    </row>
    <row r="531" spans="1:20" ht="12.75" customHeight="1">
      <c r="A531" s="1133" t="s">
        <v>201</v>
      </c>
      <c r="B531" s="1133" t="s">
        <v>200</v>
      </c>
      <c r="C531" s="261">
        <f>181214*2</f>
        <v>362428</v>
      </c>
      <c r="D531" s="193">
        <f>31979*2</f>
        <v>63958</v>
      </c>
      <c r="E531" s="353">
        <v>362428</v>
      </c>
      <c r="F531" s="320">
        <v>63958</v>
      </c>
      <c r="G531" s="372">
        <v>426386</v>
      </c>
      <c r="H531" s="353">
        <v>31654.02</v>
      </c>
      <c r="I531" s="352">
        <v>31654.02</v>
      </c>
      <c r="J531" s="352">
        <v>5586.01</v>
      </c>
      <c r="K531" s="320">
        <v>5586</v>
      </c>
      <c r="L531" s="1158">
        <f>SUM(H531:K544)</f>
        <v>361173.51000000007</v>
      </c>
      <c r="M531" s="1154">
        <f>L531/E532*100</f>
        <v>84.7057619152599</v>
      </c>
      <c r="N531" s="913">
        <f>32108+32109+39418+39419+18802+18802+102307+10594*2</f>
        <v>304153</v>
      </c>
      <c r="O531" s="1160">
        <f>N531/E531*100</f>
        <v>83.92094429790193</v>
      </c>
      <c r="P531" s="1160">
        <f>180573+51153+51154+10594*2</f>
        <v>304068</v>
      </c>
      <c r="Q531" s="838"/>
      <c r="R531" s="779">
        <f>E531+F531</f>
        <v>426386</v>
      </c>
      <c r="S531" s="1154">
        <f>P531/E531*100</f>
        <v>83.89749136380192</v>
      </c>
      <c r="T531" s="1154">
        <f>N531/SUM(H531:I544)*100</f>
        <v>99.07347749524918</v>
      </c>
    </row>
    <row r="532" spans="1:20" ht="12.75">
      <c r="A532" s="1134"/>
      <c r="B532" s="1134"/>
      <c r="C532" s="1135">
        <f>C531+D531</f>
        <v>426386</v>
      </c>
      <c r="D532" s="1136"/>
      <c r="E532" s="1129">
        <v>426386</v>
      </c>
      <c r="F532" s="1130"/>
      <c r="G532" s="1091">
        <v>426386</v>
      </c>
      <c r="H532" s="802">
        <v>18556.58</v>
      </c>
      <c r="I532" s="674">
        <v>18556.58</v>
      </c>
      <c r="J532" s="674">
        <v>3274.69</v>
      </c>
      <c r="K532" s="330">
        <v>3274.69</v>
      </c>
      <c r="L532" s="1159"/>
      <c r="M532" s="1155"/>
      <c r="N532" s="1161"/>
      <c r="O532" s="1161"/>
      <c r="P532" s="1161"/>
      <c r="Q532" s="838"/>
      <c r="R532" s="779"/>
      <c r="S532" s="1155"/>
      <c r="T532" s="1155"/>
    </row>
    <row r="533" spans="1:20" ht="12.75">
      <c r="A533" s="1134"/>
      <c r="B533" s="1134"/>
      <c r="C533" s="1137"/>
      <c r="D533" s="1138"/>
      <c r="E533" s="1131"/>
      <c r="F533" s="1118"/>
      <c r="G533" s="1092"/>
      <c r="H533" s="802">
        <v>10717.92</v>
      </c>
      <c r="I533" s="674">
        <v>10717.92</v>
      </c>
      <c r="J533" s="674">
        <v>1891.4</v>
      </c>
      <c r="K533" s="330">
        <v>1891.39</v>
      </c>
      <c r="L533" s="1159"/>
      <c r="M533" s="1155"/>
      <c r="N533" s="1161"/>
      <c r="O533" s="1161"/>
      <c r="P533" s="1161"/>
      <c r="Q533" s="838"/>
      <c r="R533" s="779"/>
      <c r="S533" s="1155"/>
      <c r="T533" s="1155"/>
    </row>
    <row r="534" spans="1:20" ht="12.75">
      <c r="A534" s="1134"/>
      <c r="B534" s="1134"/>
      <c r="C534" s="1137"/>
      <c r="D534" s="1138"/>
      <c r="E534" s="1131"/>
      <c r="F534" s="1118"/>
      <c r="G534" s="1092"/>
      <c r="H534" s="802">
        <v>454.52</v>
      </c>
      <c r="I534" s="674">
        <v>454.52</v>
      </c>
      <c r="J534" s="674">
        <v>80.22</v>
      </c>
      <c r="K534" s="330">
        <v>80.21</v>
      </c>
      <c r="L534" s="1159"/>
      <c r="M534" s="1155"/>
      <c r="N534" s="1161"/>
      <c r="O534" s="1161"/>
      <c r="P534" s="1161"/>
      <c r="Q534" s="838"/>
      <c r="R534" s="779"/>
      <c r="S534" s="1155"/>
      <c r="T534" s="1155"/>
    </row>
    <row r="535" spans="1:20" ht="12.75">
      <c r="A535" s="1134"/>
      <c r="B535" s="1134"/>
      <c r="C535" s="1137"/>
      <c r="D535" s="1138"/>
      <c r="E535" s="1131"/>
      <c r="F535" s="1118"/>
      <c r="G535" s="1092"/>
      <c r="H535" s="802">
        <v>9557.35</v>
      </c>
      <c r="I535" s="674">
        <v>9557.35</v>
      </c>
      <c r="J535" s="674">
        <v>1686.6</v>
      </c>
      <c r="K535" s="330">
        <v>1686.59</v>
      </c>
      <c r="L535" s="1159"/>
      <c r="M535" s="1155"/>
      <c r="N535" s="1161"/>
      <c r="O535" s="1161"/>
      <c r="P535" s="1161"/>
      <c r="Q535" s="838"/>
      <c r="R535" s="779"/>
      <c r="S535" s="1155"/>
      <c r="T535" s="1155"/>
    </row>
    <row r="536" spans="1:20" ht="12.75">
      <c r="A536" s="1134"/>
      <c r="B536" s="1134"/>
      <c r="C536" s="1137"/>
      <c r="D536" s="1138"/>
      <c r="E536" s="1131"/>
      <c r="F536" s="1118"/>
      <c r="G536" s="1092"/>
      <c r="H536" s="802">
        <v>18228.66</v>
      </c>
      <c r="I536" s="674">
        <v>18228.66</v>
      </c>
      <c r="J536" s="674">
        <v>3216.82</v>
      </c>
      <c r="K536" s="330">
        <v>3216.82</v>
      </c>
      <c r="L536" s="1159"/>
      <c r="M536" s="1155"/>
      <c r="N536" s="1161"/>
      <c r="O536" s="1161"/>
      <c r="P536" s="1161"/>
      <c r="Q536" s="838"/>
      <c r="R536" s="779"/>
      <c r="S536" s="1155"/>
      <c r="T536" s="1155"/>
    </row>
    <row r="537" spans="1:20" ht="13.5" thickBot="1">
      <c r="A537" s="1134"/>
      <c r="B537" s="1134"/>
      <c r="C537" s="1137"/>
      <c r="D537" s="1138"/>
      <c r="E537" s="1131"/>
      <c r="F537" s="1118"/>
      <c r="G537" s="1081"/>
      <c r="H537" s="802">
        <v>586.72</v>
      </c>
      <c r="I537" s="674">
        <v>586.72</v>
      </c>
      <c r="J537" s="674">
        <v>103.54</v>
      </c>
      <c r="K537" s="330">
        <v>103.54</v>
      </c>
      <c r="L537" s="1159"/>
      <c r="M537" s="1155"/>
      <c r="N537" s="1161"/>
      <c r="O537" s="1161"/>
      <c r="P537" s="1161"/>
      <c r="Q537" s="843"/>
      <c r="R537" s="779">
        <f>E532</f>
        <v>426386</v>
      </c>
      <c r="S537" s="1155"/>
      <c r="T537" s="1155"/>
    </row>
    <row r="538" spans="1:20" ht="12.75">
      <c r="A538" s="1134"/>
      <c r="B538" s="1134"/>
      <c r="C538" s="1137"/>
      <c r="D538" s="1138"/>
      <c r="E538" s="1131"/>
      <c r="F538" s="1118"/>
      <c r="G538" s="391"/>
      <c r="H538" s="802">
        <v>34164.53</v>
      </c>
      <c r="I538" s="674">
        <v>34164.53</v>
      </c>
      <c r="J538" s="674">
        <v>6029.05</v>
      </c>
      <c r="K538" s="330">
        <v>6029.04</v>
      </c>
      <c r="L538" s="1159"/>
      <c r="M538" s="1155"/>
      <c r="N538" s="1161"/>
      <c r="O538" s="1161"/>
      <c r="P538" s="1161"/>
      <c r="Q538" s="843"/>
      <c r="R538" s="779"/>
      <c r="S538" s="1155"/>
      <c r="T538" s="1155"/>
    </row>
    <row r="539" spans="1:20" ht="12.75">
      <c r="A539" s="1134"/>
      <c r="B539" s="1134"/>
      <c r="C539" s="1137"/>
      <c r="D539" s="1138"/>
      <c r="E539" s="1131"/>
      <c r="F539" s="1118"/>
      <c r="G539" s="391"/>
      <c r="H539" s="802">
        <v>13332.52</v>
      </c>
      <c r="I539" s="674">
        <v>13332.52</v>
      </c>
      <c r="J539" s="674">
        <v>2352.8</v>
      </c>
      <c r="K539" s="330">
        <v>2352.8</v>
      </c>
      <c r="L539" s="1159"/>
      <c r="M539" s="1155"/>
      <c r="N539" s="1161"/>
      <c r="O539" s="1161"/>
      <c r="P539" s="1161"/>
      <c r="Q539" s="843"/>
      <c r="R539" s="779"/>
      <c r="S539" s="1155"/>
      <c r="T539" s="1155"/>
    </row>
    <row r="540" spans="1:20" ht="12.75">
      <c r="A540" s="1134"/>
      <c r="B540" s="1134"/>
      <c r="C540" s="1137"/>
      <c r="D540" s="1138"/>
      <c r="E540" s="1131"/>
      <c r="F540" s="1118"/>
      <c r="G540" s="391"/>
      <c r="H540" s="802">
        <v>573.48</v>
      </c>
      <c r="I540" s="674">
        <f>H540</f>
        <v>573.48</v>
      </c>
      <c r="J540" s="674">
        <v>101.21</v>
      </c>
      <c r="K540" s="330">
        <v>101.2</v>
      </c>
      <c r="L540" s="1159"/>
      <c r="M540" s="1155"/>
      <c r="N540" s="1161"/>
      <c r="O540" s="1161"/>
      <c r="P540" s="1161"/>
      <c r="Q540" s="843"/>
      <c r="R540" s="779"/>
      <c r="S540" s="1155"/>
      <c r="T540" s="1155"/>
    </row>
    <row r="541" spans="1:20" ht="12.75">
      <c r="A541" s="1067"/>
      <c r="B541" s="1067"/>
      <c r="C541" s="1144"/>
      <c r="D541" s="1145"/>
      <c r="E541" s="1144"/>
      <c r="F541" s="1145"/>
      <c r="G541" s="391"/>
      <c r="H541" s="802">
        <v>1279.67</v>
      </c>
      <c r="I541" s="674">
        <v>1279.67</v>
      </c>
      <c r="J541" s="674">
        <v>225.83</v>
      </c>
      <c r="K541" s="330">
        <v>225.83</v>
      </c>
      <c r="L541" s="1156"/>
      <c r="M541" s="1156"/>
      <c r="N541" s="1156"/>
      <c r="O541" s="1156"/>
      <c r="P541" s="1156"/>
      <c r="Q541" s="843"/>
      <c r="R541" s="779"/>
      <c r="S541" s="1156"/>
      <c r="T541" s="1156"/>
    </row>
    <row r="542" spans="1:20" ht="12.75">
      <c r="A542" s="1067"/>
      <c r="B542" s="1067"/>
      <c r="C542" s="1144"/>
      <c r="D542" s="1145"/>
      <c r="E542" s="1144"/>
      <c r="F542" s="1145"/>
      <c r="G542" s="391"/>
      <c r="H542" s="881">
        <v>3656.45</v>
      </c>
      <c r="I542" s="882">
        <v>3656.45</v>
      </c>
      <c r="J542" s="882">
        <v>645.27</v>
      </c>
      <c r="K542" s="880">
        <v>645.26</v>
      </c>
      <c r="L542" s="1156"/>
      <c r="M542" s="1156"/>
      <c r="N542" s="1156"/>
      <c r="O542" s="1156"/>
      <c r="P542" s="1156"/>
      <c r="Q542" s="843"/>
      <c r="R542" s="779"/>
      <c r="S542" s="1156"/>
      <c r="T542" s="1156"/>
    </row>
    <row r="543" spans="1:20" ht="12.75">
      <c r="A543" s="1067"/>
      <c r="B543" s="1067"/>
      <c r="C543" s="1144"/>
      <c r="D543" s="1145"/>
      <c r="E543" s="1144"/>
      <c r="F543" s="1145"/>
      <c r="G543" s="391"/>
      <c r="H543" s="881">
        <v>1421.98</v>
      </c>
      <c r="I543" s="882">
        <v>1421.98</v>
      </c>
      <c r="J543" s="882">
        <v>250.95</v>
      </c>
      <c r="K543" s="880">
        <v>250.94</v>
      </c>
      <c r="L543" s="1156"/>
      <c r="M543" s="1156"/>
      <c r="N543" s="1156"/>
      <c r="O543" s="1156"/>
      <c r="P543" s="1156"/>
      <c r="Q543" s="843"/>
      <c r="R543" s="779"/>
      <c r="S543" s="1156"/>
      <c r="T543" s="1156"/>
    </row>
    <row r="544" spans="1:20" ht="13.5" thickBot="1">
      <c r="A544" s="1128"/>
      <c r="B544" s="1128"/>
      <c r="C544" s="1146"/>
      <c r="D544" s="1147"/>
      <c r="E544" s="1146"/>
      <c r="F544" s="1147"/>
      <c r="G544" s="391"/>
      <c r="H544" s="881">
        <v>9314.3</v>
      </c>
      <c r="I544" s="882">
        <v>9314.3</v>
      </c>
      <c r="J544" s="882">
        <v>1643.71</v>
      </c>
      <c r="K544" s="880">
        <v>1643.7</v>
      </c>
      <c r="L544" s="1157"/>
      <c r="M544" s="1157"/>
      <c r="N544" s="1132"/>
      <c r="O544" s="1157"/>
      <c r="P544" s="1157"/>
      <c r="Q544" s="843"/>
      <c r="R544" s="779"/>
      <c r="S544" s="1157"/>
      <c r="T544" s="1157"/>
    </row>
    <row r="545" spans="1:20" ht="20.25" customHeight="1">
      <c r="A545" s="1133" t="s">
        <v>229</v>
      </c>
      <c r="B545" s="1133" t="s">
        <v>230</v>
      </c>
      <c r="C545" s="261">
        <f>467925+467925</f>
        <v>935850</v>
      </c>
      <c r="D545" s="193">
        <f>82575*2</f>
        <v>165150</v>
      </c>
      <c r="E545" s="304">
        <v>935850</v>
      </c>
      <c r="F545" s="305">
        <v>165150</v>
      </c>
      <c r="G545" s="373">
        <v>1101000</v>
      </c>
      <c r="H545" s="318">
        <v>1487.5</v>
      </c>
      <c r="I545" s="319">
        <v>1487.5</v>
      </c>
      <c r="J545" s="319">
        <v>262.5</v>
      </c>
      <c r="K545" s="320">
        <v>262.5</v>
      </c>
      <c r="L545" s="1158">
        <f>SUM(H545:K553)</f>
        <v>738047.5400000003</v>
      </c>
      <c r="M545" s="1154">
        <f>L545/E546*100</f>
        <v>67.03429064486832</v>
      </c>
      <c r="N545" s="1160">
        <v>28586</v>
      </c>
      <c r="O545" s="1160">
        <f>N545/E545*100</f>
        <v>3.054549340172036</v>
      </c>
      <c r="P545" s="1160">
        <f>2975+190+191+12615*2</f>
        <v>28586</v>
      </c>
      <c r="Q545" s="843"/>
      <c r="R545" s="779">
        <f>E545+F545</f>
        <v>1101000</v>
      </c>
      <c r="S545" s="1154">
        <f>P545/E545*100</f>
        <v>3.054549340172036</v>
      </c>
      <c r="T545" s="1154">
        <f>N545/SUM(H545:I553)*100</f>
        <v>4.55669695612452</v>
      </c>
    </row>
    <row r="546" spans="1:20" ht="20.25" customHeight="1" thickBot="1">
      <c r="A546" s="1134"/>
      <c r="B546" s="1134"/>
      <c r="C546" s="1135">
        <f>C545+D545</f>
        <v>1101000</v>
      </c>
      <c r="D546" s="1136"/>
      <c r="E546" s="1135">
        <v>1101000</v>
      </c>
      <c r="F546" s="1141"/>
      <c r="G546" s="387">
        <v>1101000</v>
      </c>
      <c r="H546" s="328">
        <v>190.51</v>
      </c>
      <c r="I546" s="329">
        <v>190.51</v>
      </c>
      <c r="J546" s="329">
        <v>33.63</v>
      </c>
      <c r="K546" s="330">
        <v>33.62</v>
      </c>
      <c r="L546" s="1159"/>
      <c r="M546" s="1155"/>
      <c r="N546" s="1161"/>
      <c r="O546" s="1161"/>
      <c r="P546" s="1161"/>
      <c r="Q546" s="843"/>
      <c r="R546" s="779">
        <f>E546</f>
        <v>1101000</v>
      </c>
      <c r="S546" s="1155"/>
      <c r="T546" s="1155"/>
    </row>
    <row r="547" spans="1:20" ht="20.25" customHeight="1">
      <c r="A547" s="1134"/>
      <c r="B547" s="1134"/>
      <c r="C547" s="1137"/>
      <c r="D547" s="1138"/>
      <c r="E547" s="1137"/>
      <c r="F547" s="1142"/>
      <c r="G547" s="397"/>
      <c r="H547" s="328">
        <v>5302.74</v>
      </c>
      <c r="I547" s="329">
        <v>5302.74</v>
      </c>
      <c r="J547" s="329">
        <v>935.78</v>
      </c>
      <c r="K547" s="330">
        <v>935.78</v>
      </c>
      <c r="L547" s="1159"/>
      <c r="M547" s="1155"/>
      <c r="N547" s="1161"/>
      <c r="O547" s="1161"/>
      <c r="P547" s="1161"/>
      <c r="Q547" s="843"/>
      <c r="R547" s="779"/>
      <c r="S547" s="1155"/>
      <c r="T547" s="1155"/>
    </row>
    <row r="548" spans="1:20" ht="20.25" customHeight="1" thickBot="1">
      <c r="A548" s="1134"/>
      <c r="B548" s="1134"/>
      <c r="C548" s="1137"/>
      <c r="D548" s="1138"/>
      <c r="E548" s="1137"/>
      <c r="F548" s="1142"/>
      <c r="G548" s="396"/>
      <c r="H548" s="328">
        <v>7312.57</v>
      </c>
      <c r="I548" s="329">
        <v>7312.57</v>
      </c>
      <c r="J548" s="329">
        <v>1290.45</v>
      </c>
      <c r="K548" s="330">
        <v>1290.45</v>
      </c>
      <c r="L548" s="1159"/>
      <c r="M548" s="1155"/>
      <c r="N548" s="1161"/>
      <c r="O548" s="1161"/>
      <c r="P548" s="1161"/>
      <c r="Q548" s="843"/>
      <c r="R548" s="779"/>
      <c r="S548" s="1155"/>
      <c r="T548" s="1155"/>
    </row>
    <row r="549" spans="1:20" ht="20.25" customHeight="1">
      <c r="A549" s="1067"/>
      <c r="B549" s="1067"/>
      <c r="C549" s="1144"/>
      <c r="D549" s="1145"/>
      <c r="E549" s="1144"/>
      <c r="F549" s="1106"/>
      <c r="G549" s="397"/>
      <c r="H549" s="328">
        <v>55295.15</v>
      </c>
      <c r="I549" s="329">
        <v>55295.15</v>
      </c>
      <c r="J549" s="329">
        <v>9757.97</v>
      </c>
      <c r="K549" s="330">
        <v>9757.97</v>
      </c>
      <c r="L549" s="1156"/>
      <c r="M549" s="1156"/>
      <c r="N549" s="1156"/>
      <c r="O549" s="1156"/>
      <c r="P549" s="1156"/>
      <c r="Q549" s="843"/>
      <c r="R549" s="779"/>
      <c r="S549" s="1156"/>
      <c r="T549" s="1156"/>
    </row>
    <row r="550" spans="1:20" ht="20.25" customHeight="1">
      <c r="A550" s="1067"/>
      <c r="B550" s="1067"/>
      <c r="C550" s="1144"/>
      <c r="D550" s="1145"/>
      <c r="E550" s="1144"/>
      <c r="F550" s="1106"/>
      <c r="G550" s="397"/>
      <c r="H550" s="328">
        <v>71295.91</v>
      </c>
      <c r="I550" s="329">
        <v>71295.91</v>
      </c>
      <c r="J550" s="329">
        <v>12581.64</v>
      </c>
      <c r="K550" s="330">
        <v>12581.63</v>
      </c>
      <c r="L550" s="1156"/>
      <c r="M550" s="1156"/>
      <c r="N550" s="1156"/>
      <c r="O550" s="1156"/>
      <c r="P550" s="1156"/>
      <c r="Q550" s="843"/>
      <c r="R550" s="779"/>
      <c r="S550" s="1156"/>
      <c r="T550" s="1156"/>
    </row>
    <row r="551" spans="1:20" ht="20.25" customHeight="1">
      <c r="A551" s="1067"/>
      <c r="B551" s="1067"/>
      <c r="C551" s="1144"/>
      <c r="D551" s="1145"/>
      <c r="E551" s="1144"/>
      <c r="F551" s="1106"/>
      <c r="G551" s="397"/>
      <c r="H551" s="328">
        <v>40861.4</v>
      </c>
      <c r="I551" s="329">
        <v>40861.4</v>
      </c>
      <c r="J551" s="329">
        <v>7210.84</v>
      </c>
      <c r="K551" s="330">
        <v>7210.83</v>
      </c>
      <c r="L551" s="1156"/>
      <c r="M551" s="1156"/>
      <c r="N551" s="1156"/>
      <c r="O551" s="1156"/>
      <c r="P551" s="1156"/>
      <c r="Q551" s="843"/>
      <c r="R551" s="779"/>
      <c r="S551" s="1156"/>
      <c r="T551" s="1156"/>
    </row>
    <row r="552" spans="1:20" ht="20.25" customHeight="1">
      <c r="A552" s="1067"/>
      <c r="B552" s="1067"/>
      <c r="C552" s="1144"/>
      <c r="D552" s="1145"/>
      <c r="E552" s="1144"/>
      <c r="F552" s="1106"/>
      <c r="G552" s="397"/>
      <c r="H552" s="328">
        <v>83610.52</v>
      </c>
      <c r="I552" s="329">
        <v>83610.52</v>
      </c>
      <c r="J552" s="329">
        <v>14754.8</v>
      </c>
      <c r="K552" s="330">
        <v>14754.8</v>
      </c>
      <c r="L552" s="1156"/>
      <c r="M552" s="1156"/>
      <c r="N552" s="1156"/>
      <c r="O552" s="1156"/>
      <c r="P552" s="1156"/>
      <c r="Q552" s="843"/>
      <c r="R552" s="779"/>
      <c r="S552" s="1156"/>
      <c r="T552" s="1156"/>
    </row>
    <row r="553" spans="1:20" ht="20.25" customHeight="1" thickBot="1">
      <c r="A553" s="1128"/>
      <c r="B553" s="1128"/>
      <c r="C553" s="1146"/>
      <c r="D553" s="1147"/>
      <c r="E553" s="1146"/>
      <c r="F553" s="1107"/>
      <c r="G553" s="397"/>
      <c r="H553" s="875">
        <v>48313.89</v>
      </c>
      <c r="I553" s="876">
        <v>48313.89</v>
      </c>
      <c r="J553" s="876">
        <v>8525.99</v>
      </c>
      <c r="K553" s="877">
        <v>8525.98</v>
      </c>
      <c r="L553" s="1132"/>
      <c r="M553" s="1132"/>
      <c r="N553" s="1132"/>
      <c r="O553" s="1132"/>
      <c r="P553" s="1132"/>
      <c r="Q553" s="843"/>
      <c r="R553" s="779"/>
      <c r="S553" s="1132"/>
      <c r="T553" s="1132"/>
    </row>
    <row r="554" spans="1:20" ht="18" customHeight="1">
      <c r="A554" s="1133" t="s">
        <v>152</v>
      </c>
      <c r="B554" s="1133" t="s">
        <v>153</v>
      </c>
      <c r="C554" s="708">
        <f>192728+192727</f>
        <v>385455</v>
      </c>
      <c r="D554" s="709">
        <f>21414+21414</f>
        <v>42828</v>
      </c>
      <c r="E554" s="293">
        <v>385455</v>
      </c>
      <c r="F554" s="300">
        <v>42828</v>
      </c>
      <c r="G554" s="371">
        <v>428283</v>
      </c>
      <c r="H554" s="878">
        <v>42558.3</v>
      </c>
      <c r="I554" s="879">
        <v>42558.3</v>
      </c>
      <c r="J554" s="879">
        <v>4728.7</v>
      </c>
      <c r="K554" s="880">
        <v>4728.7</v>
      </c>
      <c r="L554" s="1158">
        <f>SUM(H554:K559)</f>
        <v>406868.85</v>
      </c>
      <c r="M554" s="1154">
        <f>L554/E555*100</f>
        <v>95</v>
      </c>
      <c r="N554" s="1077">
        <f>6049+6050+53855+35647+117749+59516</f>
        <v>278866</v>
      </c>
      <c r="O554" s="1077">
        <f>N554/E554*100</f>
        <v>72.34722600562971</v>
      </c>
      <c r="P554" s="1077">
        <f>101601+58875+58874+29758*2</f>
        <v>278866</v>
      </c>
      <c r="Q554" s="1083">
        <f>P554/E554*100</f>
        <v>72.34722600562971</v>
      </c>
      <c r="R554" s="779">
        <f>E554+F554</f>
        <v>428283</v>
      </c>
      <c r="S554" s="1114">
        <f>P554/E554*100</f>
        <v>72.34722600562971</v>
      </c>
      <c r="T554" s="1114">
        <f>N554/SUM(H554:I559)*100</f>
        <v>76.15497474276813</v>
      </c>
    </row>
    <row r="555" spans="1:20" ht="18" customHeight="1" thickBot="1">
      <c r="A555" s="1134"/>
      <c r="B555" s="1134"/>
      <c r="C555" s="1148">
        <f>C554+D554</f>
        <v>428283</v>
      </c>
      <c r="D555" s="1149"/>
      <c r="E555" s="1148">
        <v>428283</v>
      </c>
      <c r="F555" s="1149"/>
      <c r="G555" s="1104">
        <v>428283</v>
      </c>
      <c r="H555" s="328">
        <v>13834.96</v>
      </c>
      <c r="I555" s="329">
        <v>13834.96</v>
      </c>
      <c r="J555" s="329">
        <v>1537.23</v>
      </c>
      <c r="K555" s="330">
        <v>1537.22</v>
      </c>
      <c r="L555" s="1159"/>
      <c r="M555" s="1155"/>
      <c r="N555" s="1075"/>
      <c r="O555" s="1075"/>
      <c r="P555" s="1075"/>
      <c r="Q555" s="1085"/>
      <c r="R555" s="779"/>
      <c r="S555" s="1115"/>
      <c r="T555" s="1115"/>
    </row>
    <row r="556" spans="1:20" ht="18" customHeight="1" thickBot="1">
      <c r="A556" s="1134"/>
      <c r="B556" s="1134"/>
      <c r="C556" s="1150"/>
      <c r="D556" s="1151"/>
      <c r="E556" s="1150"/>
      <c r="F556" s="1151"/>
      <c r="G556" s="1105"/>
      <c r="H556" s="328">
        <v>16511.28</v>
      </c>
      <c r="I556" s="329">
        <v>16511.28</v>
      </c>
      <c r="J556" s="329">
        <v>1834.59</v>
      </c>
      <c r="K556" s="330">
        <v>1834.59</v>
      </c>
      <c r="L556" s="1159"/>
      <c r="M556" s="1155"/>
      <c r="N556" s="1075"/>
      <c r="O556" s="1075"/>
      <c r="P556" s="1075"/>
      <c r="Q556" s="838"/>
      <c r="R556" s="779">
        <f>E555</f>
        <v>428283</v>
      </c>
      <c r="S556" s="1115"/>
      <c r="T556" s="1115"/>
    </row>
    <row r="557" spans="1:20" ht="18" customHeight="1">
      <c r="A557" s="1134"/>
      <c r="B557" s="1134"/>
      <c r="C557" s="1150"/>
      <c r="D557" s="1151"/>
      <c r="E557" s="1150"/>
      <c r="F557" s="1151"/>
      <c r="G557" s="382"/>
      <c r="H557" s="328">
        <v>41607.39</v>
      </c>
      <c r="I557" s="329">
        <v>41607.39</v>
      </c>
      <c r="J557" s="329">
        <v>4623.04</v>
      </c>
      <c r="K557" s="330">
        <v>4623.04</v>
      </c>
      <c r="L557" s="1159"/>
      <c r="M557" s="1155"/>
      <c r="N557" s="1075"/>
      <c r="O557" s="1075"/>
      <c r="P557" s="1075"/>
      <c r="Q557" s="838"/>
      <c r="R557" s="779"/>
      <c r="S557" s="1115"/>
      <c r="T557" s="1115"/>
    </row>
    <row r="558" spans="1:20" ht="18" customHeight="1">
      <c r="A558" s="1134"/>
      <c r="B558" s="1134"/>
      <c r="C558" s="1150"/>
      <c r="D558" s="1151"/>
      <c r="E558" s="1150"/>
      <c r="F558" s="1151"/>
      <c r="G558" s="382"/>
      <c r="H558" s="328">
        <v>66770.1</v>
      </c>
      <c r="I558" s="329">
        <v>66770.1</v>
      </c>
      <c r="J558" s="329">
        <v>7418.9</v>
      </c>
      <c r="K558" s="330">
        <v>7418.9</v>
      </c>
      <c r="L558" s="1159"/>
      <c r="M558" s="1155"/>
      <c r="N558" s="1075"/>
      <c r="O558" s="1075"/>
      <c r="P558" s="1075"/>
      <c r="Q558" s="838"/>
      <c r="R558" s="779"/>
      <c r="S558" s="1115"/>
      <c r="T558" s="1115"/>
    </row>
    <row r="559" spans="1:20" ht="18" customHeight="1" thickBot="1">
      <c r="A559" s="1090"/>
      <c r="B559" s="1090"/>
      <c r="C559" s="1152"/>
      <c r="D559" s="1153"/>
      <c r="E559" s="1152"/>
      <c r="F559" s="1153"/>
      <c r="G559" s="382"/>
      <c r="H559" s="710">
        <v>1809.57</v>
      </c>
      <c r="I559" s="711">
        <v>1808.62</v>
      </c>
      <c r="J559" s="711">
        <v>200.84</v>
      </c>
      <c r="K559" s="712">
        <v>200.85</v>
      </c>
      <c r="L559" s="1113"/>
      <c r="M559" s="1108"/>
      <c r="N559" s="1076"/>
      <c r="O559" s="1076"/>
      <c r="P559" s="1076"/>
      <c r="Q559" s="838"/>
      <c r="R559" s="779"/>
      <c r="S559" s="1116"/>
      <c r="T559" s="1116"/>
    </row>
    <row r="560" spans="1:20" ht="12.75">
      <c r="A560" s="1133" t="s">
        <v>222</v>
      </c>
      <c r="B560" s="907" t="s">
        <v>221</v>
      </c>
      <c r="C560" s="261">
        <f>209578*2</f>
        <v>419156</v>
      </c>
      <c r="D560" s="193">
        <f>23286.5*2</f>
        <v>46573</v>
      </c>
      <c r="E560" s="261">
        <v>419156</v>
      </c>
      <c r="F560" s="193">
        <v>46573</v>
      </c>
      <c r="G560" s="370">
        <v>465729</v>
      </c>
      <c r="H560" s="318">
        <v>2098.22</v>
      </c>
      <c r="I560" s="319">
        <v>2098.22</v>
      </c>
      <c r="J560" s="319">
        <v>233.15</v>
      </c>
      <c r="K560" s="320">
        <v>233.14</v>
      </c>
      <c r="L560" s="1158">
        <f>SUM(H560:K569)</f>
        <v>442442.55</v>
      </c>
      <c r="M560" s="1154">
        <f>L560/E561*100</f>
        <v>95</v>
      </c>
      <c r="N560" s="1160">
        <f>14826+300925+18447+18448+10724+25899</f>
        <v>389269</v>
      </c>
      <c r="O560" s="1160">
        <f>N560/E560*100</f>
        <v>92.86971914991076</v>
      </c>
      <c r="P560" s="1160">
        <f>315751+18447+18448+5362*2+12950+12949</f>
        <v>389269</v>
      </c>
      <c r="Q560" s="846"/>
      <c r="R560" s="840">
        <f>E560+F560</f>
        <v>465729</v>
      </c>
      <c r="S560" s="1114">
        <f>P560/E560*100</f>
        <v>92.86971914991076</v>
      </c>
      <c r="T560" s="1114">
        <f>N560/SUM(H560:I569)*100</f>
        <v>97.75759910516925</v>
      </c>
    </row>
    <row r="561" spans="1:20" ht="12.75">
      <c r="A561" s="1134"/>
      <c r="B561" s="908"/>
      <c r="C561" s="1148">
        <f>C560+D560</f>
        <v>465729</v>
      </c>
      <c r="D561" s="1149"/>
      <c r="E561" s="1148">
        <v>465729</v>
      </c>
      <c r="F561" s="1149"/>
      <c r="G561" s="386">
        <v>465729</v>
      </c>
      <c r="H561" s="328">
        <v>142571.52</v>
      </c>
      <c r="I561" s="329">
        <v>142571.52</v>
      </c>
      <c r="J561" s="329">
        <v>15841.28</v>
      </c>
      <c r="K561" s="330">
        <v>15841.28</v>
      </c>
      <c r="L561" s="1159"/>
      <c r="M561" s="1155"/>
      <c r="N561" s="1161"/>
      <c r="O561" s="1161"/>
      <c r="P561" s="1161"/>
      <c r="Q561" s="838"/>
      <c r="R561" s="839">
        <f>E561</f>
        <v>465729</v>
      </c>
      <c r="S561" s="1115"/>
      <c r="T561" s="1115"/>
    </row>
    <row r="562" spans="1:20" ht="12.75">
      <c r="A562" s="1134"/>
      <c r="B562" s="908"/>
      <c r="C562" s="1150"/>
      <c r="D562" s="1151"/>
      <c r="E562" s="1150"/>
      <c r="F562" s="1151"/>
      <c r="G562" s="386"/>
      <c r="H562" s="328">
        <v>5313.75</v>
      </c>
      <c r="I562" s="329">
        <v>5313.75</v>
      </c>
      <c r="J562" s="329">
        <v>590.43</v>
      </c>
      <c r="K562" s="330">
        <v>590.42</v>
      </c>
      <c r="L562" s="1159"/>
      <c r="M562" s="1155"/>
      <c r="N562" s="1161"/>
      <c r="O562" s="1161"/>
      <c r="P562" s="1161"/>
      <c r="Q562" s="838"/>
      <c r="R562" s="839"/>
      <c r="S562" s="1115"/>
      <c r="T562" s="1115"/>
    </row>
    <row r="563" spans="1:20" ht="12.75">
      <c r="A563" s="1134"/>
      <c r="B563" s="908"/>
      <c r="C563" s="1150"/>
      <c r="D563" s="1151"/>
      <c r="E563" s="1150"/>
      <c r="F563" s="1151"/>
      <c r="G563" s="386"/>
      <c r="H563" s="328">
        <v>8549.64</v>
      </c>
      <c r="I563" s="329">
        <v>8549.64</v>
      </c>
      <c r="J563" s="329">
        <v>949.96</v>
      </c>
      <c r="K563" s="330">
        <v>949.96</v>
      </c>
      <c r="L563" s="1159"/>
      <c r="M563" s="1155"/>
      <c r="N563" s="1161"/>
      <c r="O563" s="1161"/>
      <c r="P563" s="1161"/>
      <c r="Q563" s="838"/>
      <c r="R563" s="839"/>
      <c r="S563" s="1115"/>
      <c r="T563" s="1115"/>
    </row>
    <row r="564" spans="1:20" ht="12.75">
      <c r="A564" s="1134"/>
      <c r="B564" s="908"/>
      <c r="C564" s="1150"/>
      <c r="D564" s="1151"/>
      <c r="E564" s="1150"/>
      <c r="F564" s="1151"/>
      <c r="G564" s="386"/>
      <c r="H564" s="328">
        <v>7890.72</v>
      </c>
      <c r="I564" s="329">
        <v>7890.72</v>
      </c>
      <c r="J564" s="329">
        <v>876.76</v>
      </c>
      <c r="K564" s="330">
        <v>876.75</v>
      </c>
      <c r="L564" s="1159"/>
      <c r="M564" s="1155"/>
      <c r="N564" s="1161"/>
      <c r="O564" s="1161"/>
      <c r="P564" s="1161"/>
      <c r="Q564" s="838"/>
      <c r="R564" s="839"/>
      <c r="S564" s="1115"/>
      <c r="T564" s="1115"/>
    </row>
    <row r="565" spans="1:20" ht="13.5" thickBot="1">
      <c r="A565" s="1134"/>
      <c r="B565" s="908"/>
      <c r="C565" s="1150"/>
      <c r="D565" s="1151"/>
      <c r="E565" s="1150"/>
      <c r="F565" s="1151"/>
      <c r="G565" s="381"/>
      <c r="H565" s="328">
        <v>4756.95</v>
      </c>
      <c r="I565" s="329">
        <v>4756.95</v>
      </c>
      <c r="J565" s="329">
        <v>528.55</v>
      </c>
      <c r="K565" s="330">
        <v>528.55</v>
      </c>
      <c r="L565" s="1159"/>
      <c r="M565" s="1155"/>
      <c r="N565" s="1161"/>
      <c r="O565" s="1161"/>
      <c r="P565" s="1161"/>
      <c r="Q565" s="842"/>
      <c r="R565" s="841"/>
      <c r="S565" s="1115"/>
      <c r="T565" s="1115"/>
    </row>
    <row r="566" spans="1:20" ht="12.75">
      <c r="A566" s="1134"/>
      <c r="B566" s="908"/>
      <c r="C566" s="1150"/>
      <c r="D566" s="1151"/>
      <c r="E566" s="1150"/>
      <c r="F566" s="1151"/>
      <c r="G566" s="386"/>
      <c r="H566" s="328">
        <v>5141.08</v>
      </c>
      <c r="I566" s="329">
        <v>5141.08</v>
      </c>
      <c r="J566" s="329">
        <v>571.24</v>
      </c>
      <c r="K566" s="330">
        <v>571.23</v>
      </c>
      <c r="L566" s="1159"/>
      <c r="M566" s="1155"/>
      <c r="N566" s="1161"/>
      <c r="O566" s="1161"/>
      <c r="P566" s="1161"/>
      <c r="Q566" s="838"/>
      <c r="R566" s="839"/>
      <c r="S566" s="1115"/>
      <c r="T566" s="1115"/>
    </row>
    <row r="567" spans="1:20" ht="12.75">
      <c r="A567" s="1134"/>
      <c r="B567" s="908"/>
      <c r="C567" s="1150"/>
      <c r="D567" s="1151"/>
      <c r="E567" s="1150"/>
      <c r="F567" s="1151"/>
      <c r="G567" s="386"/>
      <c r="H567" s="328">
        <v>11498.97</v>
      </c>
      <c r="I567" s="329">
        <v>11498.97</v>
      </c>
      <c r="J567" s="329">
        <v>1277.66</v>
      </c>
      <c r="K567" s="330">
        <v>1277.66</v>
      </c>
      <c r="L567" s="1159"/>
      <c r="M567" s="1155"/>
      <c r="N567" s="1161"/>
      <c r="O567" s="1161"/>
      <c r="P567" s="1161"/>
      <c r="Q567" s="838"/>
      <c r="R567" s="839"/>
      <c r="S567" s="1115"/>
      <c r="T567" s="1115"/>
    </row>
    <row r="568" spans="1:20" ht="12.75">
      <c r="A568" s="1134"/>
      <c r="B568" s="908"/>
      <c r="C568" s="1150"/>
      <c r="D568" s="1151"/>
      <c r="E568" s="1150"/>
      <c r="F568" s="1151"/>
      <c r="G568" s="386"/>
      <c r="H568" s="328">
        <v>5361.29</v>
      </c>
      <c r="I568" s="329">
        <v>5361.29</v>
      </c>
      <c r="J568" s="329">
        <v>595.7</v>
      </c>
      <c r="K568" s="330">
        <v>595.7</v>
      </c>
      <c r="L568" s="1159"/>
      <c r="M568" s="1155"/>
      <c r="N568" s="1161"/>
      <c r="O568" s="1161"/>
      <c r="P568" s="1161"/>
      <c r="Q568" s="838"/>
      <c r="R568" s="839"/>
      <c r="S568" s="1115"/>
      <c r="T568" s="1115"/>
    </row>
    <row r="569" spans="1:20" ht="13.5" thickBot="1">
      <c r="A569" s="1090"/>
      <c r="B569" s="919"/>
      <c r="C569" s="1152"/>
      <c r="D569" s="1153"/>
      <c r="E569" s="1152"/>
      <c r="F569" s="1153"/>
      <c r="G569" s="386"/>
      <c r="H569" s="710">
        <v>5916.96</v>
      </c>
      <c r="I569" s="711">
        <v>5916.96</v>
      </c>
      <c r="J569" s="711">
        <v>657.45</v>
      </c>
      <c r="K569" s="712">
        <v>657.48</v>
      </c>
      <c r="L569" s="1113"/>
      <c r="M569" s="1108"/>
      <c r="N569" s="1126"/>
      <c r="O569" s="1126"/>
      <c r="P569" s="1126"/>
      <c r="Q569" s="838"/>
      <c r="R569" s="839"/>
      <c r="S569" s="1116"/>
      <c r="T569" s="1116"/>
    </row>
    <row r="570" spans="1:20" ht="19.5" customHeight="1">
      <c r="A570" s="1133" t="s">
        <v>263</v>
      </c>
      <c r="B570" s="1097" t="s">
        <v>160</v>
      </c>
      <c r="C570" s="261">
        <v>356028</v>
      </c>
      <c r="D570" s="193">
        <v>62828</v>
      </c>
      <c r="E570" s="261">
        <v>356028</v>
      </c>
      <c r="F570" s="193">
        <v>62828</v>
      </c>
      <c r="G570" s="370">
        <v>418856</v>
      </c>
      <c r="H570" s="318">
        <v>0</v>
      </c>
      <c r="I570" s="319">
        <v>142410.7</v>
      </c>
      <c r="J570" s="319">
        <v>0</v>
      </c>
      <c r="K570" s="320">
        <v>25131.3</v>
      </c>
      <c r="L570" s="1158">
        <f>SUM(H570:K574)</f>
        <v>397913.20000000007</v>
      </c>
      <c r="M570" s="1154">
        <f>L570/E571*100</f>
        <v>95.00000000000001</v>
      </c>
      <c r="N570" s="1160">
        <f>197776+56622</f>
        <v>254398</v>
      </c>
      <c r="O570" s="1160">
        <f>N570/E570*100</f>
        <v>71.45449234329884</v>
      </c>
      <c r="P570" s="1160">
        <f>135560+62216+56622</f>
        <v>254398</v>
      </c>
      <c r="Q570" s="1083">
        <f>P570/E570*100</f>
        <v>71.45449234329884</v>
      </c>
      <c r="R570" s="840">
        <f>E570+F570</f>
        <v>418856</v>
      </c>
      <c r="S570" s="1114">
        <f>P570/E570*100</f>
        <v>71.45449234329884</v>
      </c>
      <c r="T570" s="1114">
        <f>N570/SUM(H570:I574)*100</f>
        <v>75.21533960318038</v>
      </c>
    </row>
    <row r="571" spans="1:20" ht="19.5" customHeight="1" thickBot="1">
      <c r="A571" s="1134"/>
      <c r="B571" s="1059"/>
      <c r="C571" s="1148">
        <v>418856</v>
      </c>
      <c r="D571" s="1149"/>
      <c r="E571" s="1148">
        <v>418856</v>
      </c>
      <c r="F571" s="1149"/>
      <c r="G571" s="382">
        <v>418856</v>
      </c>
      <c r="H571" s="328">
        <v>0</v>
      </c>
      <c r="I571" s="329">
        <v>44267.37</v>
      </c>
      <c r="J571" s="329">
        <v>0</v>
      </c>
      <c r="K571" s="330">
        <v>7811.89</v>
      </c>
      <c r="L571" s="1159"/>
      <c r="M571" s="1155"/>
      <c r="N571" s="1161"/>
      <c r="O571" s="1161"/>
      <c r="P571" s="1161"/>
      <c r="Q571" s="1085"/>
      <c r="R571" s="839">
        <f>E571</f>
        <v>418856</v>
      </c>
      <c r="S571" s="1115"/>
      <c r="T571" s="1115"/>
    </row>
    <row r="572" spans="1:20" ht="19.5" customHeight="1" thickBot="1">
      <c r="A572" s="1134"/>
      <c r="B572" s="1059"/>
      <c r="C572" s="1150"/>
      <c r="D572" s="1151"/>
      <c r="E572" s="1150"/>
      <c r="F572" s="1151"/>
      <c r="G572" s="388"/>
      <c r="H572" s="802">
        <v>0</v>
      </c>
      <c r="I572" s="329">
        <v>65935.37</v>
      </c>
      <c r="J572" s="866">
        <v>0</v>
      </c>
      <c r="K572" s="330">
        <v>11635.65</v>
      </c>
      <c r="L572" s="1159"/>
      <c r="M572" s="1155"/>
      <c r="N572" s="1161"/>
      <c r="O572" s="1161"/>
      <c r="P572" s="1161"/>
      <c r="Q572" s="847"/>
      <c r="R572" s="841"/>
      <c r="S572" s="1115"/>
      <c r="T572" s="1115"/>
    </row>
    <row r="573" spans="1:20" ht="19.5" customHeight="1" thickBot="1">
      <c r="A573" s="1134"/>
      <c r="B573" s="1059"/>
      <c r="C573" s="1150"/>
      <c r="D573" s="1151"/>
      <c r="E573" s="1150"/>
      <c r="F573" s="1151"/>
      <c r="G573" s="388"/>
      <c r="H573" s="802">
        <v>0</v>
      </c>
      <c r="I573" s="329">
        <v>72787.2</v>
      </c>
      <c r="J573" s="866">
        <v>0</v>
      </c>
      <c r="K573" s="330">
        <v>12844.8</v>
      </c>
      <c r="L573" s="1159"/>
      <c r="M573" s="1155"/>
      <c r="N573" s="1161"/>
      <c r="O573" s="1161"/>
      <c r="P573" s="1161"/>
      <c r="Q573" s="848"/>
      <c r="R573" s="839"/>
      <c r="S573" s="1115"/>
      <c r="T573" s="1115"/>
    </row>
    <row r="574" spans="1:20" ht="19.5" customHeight="1" thickBot="1">
      <c r="A574" s="1134"/>
      <c r="B574" s="1059"/>
      <c r="C574" s="1150"/>
      <c r="D574" s="1151"/>
      <c r="E574" s="1150"/>
      <c r="F574" s="1151"/>
      <c r="G574" s="382"/>
      <c r="H574" s="589">
        <v>0</v>
      </c>
      <c r="I574" s="711">
        <v>12825.58</v>
      </c>
      <c r="J574" s="591">
        <v>0</v>
      </c>
      <c r="K574" s="712">
        <v>2263.34</v>
      </c>
      <c r="L574" s="1159"/>
      <c r="M574" s="1155"/>
      <c r="N574" s="1161"/>
      <c r="O574" s="1161"/>
      <c r="P574" s="1161"/>
      <c r="Q574" s="848"/>
      <c r="R574" s="839"/>
      <c r="S574" s="1115"/>
      <c r="T574" s="1115"/>
    </row>
    <row r="575" spans="1:23" ht="21.75" customHeight="1">
      <c r="A575" s="1133" t="s">
        <v>223</v>
      </c>
      <c r="B575" s="1133" t="s">
        <v>224</v>
      </c>
      <c r="C575" s="261">
        <f>407013+407012</f>
        <v>814025</v>
      </c>
      <c r="D575" s="193">
        <f>71826*2</f>
        <v>143652</v>
      </c>
      <c r="E575" s="270">
        <v>814025</v>
      </c>
      <c r="F575" s="193">
        <v>143652</v>
      </c>
      <c r="G575" s="370">
        <v>957677</v>
      </c>
      <c r="H575" s="353">
        <v>36517.73</v>
      </c>
      <c r="I575" s="319">
        <v>36517.73</v>
      </c>
      <c r="J575" s="372">
        <v>6444.32</v>
      </c>
      <c r="K575" s="320">
        <v>6444.31</v>
      </c>
      <c r="L575" s="1158">
        <f>SUM(H575:K582)</f>
        <v>909793.1499999998</v>
      </c>
      <c r="M575" s="1154">
        <f>L575/E576*100</f>
        <v>94.99999999999997</v>
      </c>
      <c r="N575" s="1160">
        <f>507122+126593+37366*2+26247+26248</f>
        <v>760942</v>
      </c>
      <c r="O575" s="1160">
        <f>N575/E575*100</f>
        <v>93.47894720678111</v>
      </c>
      <c r="P575" s="1160">
        <f>507122+63296+63297+37366*2</f>
        <v>708447</v>
      </c>
      <c r="Q575" s="372"/>
      <c r="R575" s="971">
        <f>E575+F575</f>
        <v>957677</v>
      </c>
      <c r="S575" s="1160">
        <f>P575/E575*100</f>
        <v>87.0301280673198</v>
      </c>
      <c r="T575" s="1160">
        <f>N575/SUM(H575:I582)*100</f>
        <v>98.39889179661174</v>
      </c>
      <c r="U575" s="1013"/>
      <c r="W575" s="2"/>
    </row>
    <row r="576" spans="1:23" ht="21.75" customHeight="1" thickBot="1">
      <c r="A576" s="1134"/>
      <c r="B576" s="1134"/>
      <c r="C576" s="1135">
        <f>C575+D575</f>
        <v>957677</v>
      </c>
      <c r="D576" s="1136"/>
      <c r="E576" s="1135">
        <v>957677</v>
      </c>
      <c r="F576" s="1136"/>
      <c r="G576" s="385">
        <v>957677</v>
      </c>
      <c r="H576" s="802">
        <v>80089.01</v>
      </c>
      <c r="I576" s="329">
        <v>80089.01</v>
      </c>
      <c r="J576" s="866">
        <v>14133.36</v>
      </c>
      <c r="K576" s="330">
        <v>14133.36</v>
      </c>
      <c r="L576" s="1159"/>
      <c r="M576" s="1155"/>
      <c r="N576" s="1161"/>
      <c r="O576" s="1161"/>
      <c r="P576" s="1161"/>
      <c r="Q576" s="850"/>
      <c r="R576" s="849">
        <f>E576</f>
        <v>957677</v>
      </c>
      <c r="S576" s="1161"/>
      <c r="T576" s="1161"/>
      <c r="U576" s="1013"/>
      <c r="W576" s="2"/>
    </row>
    <row r="577" spans="1:23" ht="21.75" customHeight="1" thickBot="1">
      <c r="A577" s="1134"/>
      <c r="B577" s="1134"/>
      <c r="C577" s="1137"/>
      <c r="D577" s="1138"/>
      <c r="E577" s="1137"/>
      <c r="F577" s="1138"/>
      <c r="G577" s="388"/>
      <c r="H577" s="802">
        <v>136954.75</v>
      </c>
      <c r="I577" s="329">
        <v>136954.75</v>
      </c>
      <c r="J577" s="866">
        <v>24168.48</v>
      </c>
      <c r="K577" s="330">
        <v>24168.48</v>
      </c>
      <c r="L577" s="1159"/>
      <c r="M577" s="1155"/>
      <c r="N577" s="1161"/>
      <c r="O577" s="1161"/>
      <c r="P577" s="1161"/>
      <c r="Q577" s="591"/>
      <c r="R577" s="849"/>
      <c r="S577" s="1161"/>
      <c r="T577" s="1161"/>
      <c r="U577" s="360"/>
      <c r="W577" s="2"/>
    </row>
    <row r="578" spans="1:23" ht="21.75" customHeight="1">
      <c r="A578" s="1134"/>
      <c r="B578" s="1134"/>
      <c r="C578" s="1137"/>
      <c r="D578" s="1138"/>
      <c r="E578" s="1137"/>
      <c r="F578" s="1138"/>
      <c r="G578" s="382"/>
      <c r="H578" s="589">
        <v>63296.2</v>
      </c>
      <c r="I578" s="711">
        <v>63296.2</v>
      </c>
      <c r="J578" s="591">
        <v>11169.93</v>
      </c>
      <c r="K578" s="712">
        <v>11169.92</v>
      </c>
      <c r="L578" s="1159"/>
      <c r="M578" s="1155"/>
      <c r="N578" s="1161"/>
      <c r="O578" s="1161"/>
      <c r="P578" s="1161"/>
      <c r="Q578" s="591"/>
      <c r="R578" s="849"/>
      <c r="S578" s="1161"/>
      <c r="T578" s="1161"/>
      <c r="U578" s="360"/>
      <c r="W578" s="2"/>
    </row>
    <row r="579" spans="1:23" ht="21.75" customHeight="1">
      <c r="A579" s="1134"/>
      <c r="B579" s="1134"/>
      <c r="C579" s="1137"/>
      <c r="D579" s="1138"/>
      <c r="E579" s="1137"/>
      <c r="F579" s="1138"/>
      <c r="G579" s="382"/>
      <c r="H579" s="802">
        <v>37366</v>
      </c>
      <c r="I579" s="329">
        <v>37366</v>
      </c>
      <c r="J579" s="866">
        <v>6594</v>
      </c>
      <c r="K579" s="330">
        <v>6594</v>
      </c>
      <c r="L579" s="1159"/>
      <c r="M579" s="1155"/>
      <c r="N579" s="1161"/>
      <c r="O579" s="1161"/>
      <c r="P579" s="1161"/>
      <c r="Q579" s="591"/>
      <c r="R579" s="849"/>
      <c r="S579" s="1161"/>
      <c r="T579" s="1161"/>
      <c r="U579" s="360"/>
      <c r="W579" s="2"/>
    </row>
    <row r="580" spans="1:23" ht="21.75" customHeight="1">
      <c r="A580" s="1134"/>
      <c r="B580" s="1134"/>
      <c r="C580" s="1137"/>
      <c r="D580" s="1138"/>
      <c r="E580" s="1137"/>
      <c r="F580" s="1138"/>
      <c r="G580" s="382"/>
      <c r="H580" s="802">
        <v>25100.08</v>
      </c>
      <c r="I580" s="329">
        <v>25100.08</v>
      </c>
      <c r="J580" s="866">
        <v>4429.44</v>
      </c>
      <c r="K580" s="330">
        <v>4429.43</v>
      </c>
      <c r="L580" s="1159"/>
      <c r="M580" s="1155"/>
      <c r="N580" s="1161"/>
      <c r="O580" s="1161"/>
      <c r="P580" s="1161"/>
      <c r="Q580" s="591"/>
      <c r="R580" s="849"/>
      <c r="S580" s="1161"/>
      <c r="T580" s="1161"/>
      <c r="U580" s="360"/>
      <c r="W580" s="2"/>
    </row>
    <row r="581" spans="1:23" ht="21.75" customHeight="1" thickBot="1">
      <c r="A581" s="1134"/>
      <c r="B581" s="1134"/>
      <c r="C581" s="1137"/>
      <c r="D581" s="1138"/>
      <c r="E581" s="1137"/>
      <c r="F581" s="1138"/>
      <c r="G581" s="388"/>
      <c r="H581" s="802">
        <v>720.37</v>
      </c>
      <c r="I581" s="329">
        <v>720.37</v>
      </c>
      <c r="J581" s="866">
        <v>127.13</v>
      </c>
      <c r="K581" s="330">
        <v>127.13</v>
      </c>
      <c r="L581" s="1159"/>
      <c r="M581" s="1155"/>
      <c r="N581" s="1161"/>
      <c r="O581" s="1161"/>
      <c r="P581" s="1161"/>
      <c r="Q581" s="591"/>
      <c r="R581" s="849"/>
      <c r="S581" s="1161"/>
      <c r="T581" s="1161"/>
      <c r="U581" s="360"/>
      <c r="W581" s="2"/>
    </row>
    <row r="582" spans="1:23" ht="21.75" customHeight="1" thickBot="1">
      <c r="A582" s="1128"/>
      <c r="B582" s="1128"/>
      <c r="C582" s="1146"/>
      <c r="D582" s="1147"/>
      <c r="E582" s="1146"/>
      <c r="F582" s="1147"/>
      <c r="G582" s="388"/>
      <c r="H582" s="896">
        <v>6618.21</v>
      </c>
      <c r="I582" s="876">
        <v>6617.26</v>
      </c>
      <c r="J582" s="883">
        <v>1168.04</v>
      </c>
      <c r="K582" s="877">
        <v>1168.07</v>
      </c>
      <c r="L582" s="1157"/>
      <c r="M582" s="1157"/>
      <c r="N582" s="1132"/>
      <c r="O582" s="1157"/>
      <c r="P582" s="1157"/>
      <c r="Q582" s="883"/>
      <c r="R582" s="972"/>
      <c r="S582" s="1157"/>
      <c r="T582" s="1157"/>
      <c r="U582" s="360"/>
      <c r="W582" s="2"/>
    </row>
    <row r="583" spans="1:20" ht="12.75" customHeight="1">
      <c r="A583" s="1133" t="s">
        <v>268</v>
      </c>
      <c r="B583" s="1133" t="s">
        <v>212</v>
      </c>
      <c r="C583" s="261">
        <f>139672*2</f>
        <v>279344</v>
      </c>
      <c r="D583" s="193">
        <f>24648*2</f>
        <v>49296</v>
      </c>
      <c r="E583" s="261">
        <v>279344</v>
      </c>
      <c r="F583" s="193">
        <v>49296</v>
      </c>
      <c r="G583" s="370">
        <v>328640</v>
      </c>
      <c r="H583" s="318">
        <v>10.67</v>
      </c>
      <c r="I583" s="319">
        <v>10.67</v>
      </c>
      <c r="J583" s="319">
        <v>1.89</v>
      </c>
      <c r="K583" s="320">
        <v>1.88</v>
      </c>
      <c r="L583" s="1158">
        <f>SUM(H583:K594)</f>
        <v>95719.42</v>
      </c>
      <c r="M583" s="1154">
        <f>L583/E584*100</f>
        <v>29.12591893865628</v>
      </c>
      <c r="N583" s="1160">
        <f>4342+3563+8424</f>
        <v>16329</v>
      </c>
      <c r="O583" s="1160">
        <f>N583/E583*100</f>
        <v>5.84548084082708</v>
      </c>
      <c r="P583" s="1160">
        <v>16329</v>
      </c>
      <c r="Q583" s="846"/>
      <c r="R583" s="840">
        <f>E583+F583</f>
        <v>328640</v>
      </c>
      <c r="S583" s="1154">
        <f>P583/E583*100</f>
        <v>5.84548084082708</v>
      </c>
      <c r="T583" s="923">
        <f>N583/SUM(H583:I594)*100</f>
        <v>20.06970378105402</v>
      </c>
    </row>
    <row r="584" spans="1:20" ht="12.75">
      <c r="A584" s="1134"/>
      <c r="B584" s="1134"/>
      <c r="C584" s="1135">
        <f>C583+D583</f>
        <v>328640</v>
      </c>
      <c r="D584" s="1136"/>
      <c r="E584" s="1135">
        <v>328640</v>
      </c>
      <c r="F584" s="1136"/>
      <c r="G584" s="1091">
        <v>328640</v>
      </c>
      <c r="H584" s="328">
        <v>756.5</v>
      </c>
      <c r="I584" s="329">
        <v>756.5</v>
      </c>
      <c r="J584" s="329">
        <v>133.5</v>
      </c>
      <c r="K584" s="330">
        <v>133.5</v>
      </c>
      <c r="L584" s="1159"/>
      <c r="M584" s="1155"/>
      <c r="N584" s="1161"/>
      <c r="O584" s="1161"/>
      <c r="P584" s="1161"/>
      <c r="Q584" s="838"/>
      <c r="R584" s="839"/>
      <c r="S584" s="1155"/>
      <c r="T584" s="924"/>
    </row>
    <row r="585" spans="1:20" ht="12.75">
      <c r="A585" s="1134"/>
      <c r="B585" s="1134"/>
      <c r="C585" s="1137"/>
      <c r="D585" s="1138"/>
      <c r="E585" s="1137"/>
      <c r="F585" s="1138"/>
      <c r="G585" s="1092"/>
      <c r="H585" s="328">
        <v>1176.94</v>
      </c>
      <c r="I585" s="329">
        <v>1176.94</v>
      </c>
      <c r="J585" s="329">
        <v>207.7</v>
      </c>
      <c r="K585" s="330">
        <v>207.69</v>
      </c>
      <c r="L585" s="1159"/>
      <c r="M585" s="1155"/>
      <c r="N585" s="1161"/>
      <c r="O585" s="1161"/>
      <c r="P585" s="1161"/>
      <c r="Q585" s="838"/>
      <c r="R585" s="839"/>
      <c r="S585" s="1155"/>
      <c r="T585" s="924"/>
    </row>
    <row r="586" spans="1:20" ht="13.5" thickBot="1">
      <c r="A586" s="1134"/>
      <c r="B586" s="1134"/>
      <c r="C586" s="1137"/>
      <c r="D586" s="1138"/>
      <c r="E586" s="1137"/>
      <c r="F586" s="1138"/>
      <c r="G586" s="1081"/>
      <c r="H586" s="328">
        <v>5.74</v>
      </c>
      <c r="I586" s="329">
        <v>5.74</v>
      </c>
      <c r="J586" s="329">
        <v>1.01</v>
      </c>
      <c r="K586" s="330">
        <v>1.01</v>
      </c>
      <c r="L586" s="1159"/>
      <c r="M586" s="1155"/>
      <c r="N586" s="1161"/>
      <c r="O586" s="1161"/>
      <c r="P586" s="1161"/>
      <c r="Q586" s="838"/>
      <c r="R586" s="839">
        <f>E584</f>
        <v>328640</v>
      </c>
      <c r="S586" s="1155"/>
      <c r="T586" s="924"/>
    </row>
    <row r="587" spans="1:20" ht="14.25" customHeight="1">
      <c r="A587" s="1134"/>
      <c r="B587" s="1134"/>
      <c r="C587" s="1137"/>
      <c r="D587" s="1138"/>
      <c r="E587" s="1137"/>
      <c r="F587" s="1138"/>
      <c r="G587" s="391"/>
      <c r="H587" s="328">
        <v>1421.8</v>
      </c>
      <c r="I587" s="329">
        <v>1421.8</v>
      </c>
      <c r="J587" s="329">
        <v>250.92</v>
      </c>
      <c r="K587" s="330">
        <v>250.91</v>
      </c>
      <c r="L587" s="1159"/>
      <c r="M587" s="1155"/>
      <c r="N587" s="1161"/>
      <c r="O587" s="1161"/>
      <c r="P587" s="1161"/>
      <c r="Q587" s="838"/>
      <c r="R587" s="839"/>
      <c r="S587" s="1155"/>
      <c r="T587" s="924"/>
    </row>
    <row r="588" spans="1:20" ht="14.25" customHeight="1">
      <c r="A588" s="1134"/>
      <c r="B588" s="1134"/>
      <c r="C588" s="1137"/>
      <c r="D588" s="1138"/>
      <c r="E588" s="1137"/>
      <c r="F588" s="1138"/>
      <c r="G588" s="391"/>
      <c r="H588" s="328">
        <v>220.66</v>
      </c>
      <c r="I588" s="329">
        <v>220.66</v>
      </c>
      <c r="J588" s="329">
        <v>38.94</v>
      </c>
      <c r="K588" s="330">
        <v>38.94</v>
      </c>
      <c r="L588" s="1159"/>
      <c r="M588" s="1155"/>
      <c r="N588" s="1161"/>
      <c r="O588" s="1161"/>
      <c r="P588" s="1161"/>
      <c r="Q588" s="838"/>
      <c r="R588" s="839"/>
      <c r="S588" s="1155"/>
      <c r="T588" s="924"/>
    </row>
    <row r="589" spans="1:20" ht="14.25" customHeight="1">
      <c r="A589" s="1134"/>
      <c r="B589" s="1134"/>
      <c r="C589" s="1137"/>
      <c r="D589" s="1138"/>
      <c r="E589" s="1137"/>
      <c r="F589" s="1138"/>
      <c r="G589" s="391"/>
      <c r="H589" s="328">
        <v>3691.01</v>
      </c>
      <c r="I589" s="329">
        <v>3691.01</v>
      </c>
      <c r="J589" s="329">
        <v>651.36</v>
      </c>
      <c r="K589" s="330">
        <v>651.35</v>
      </c>
      <c r="L589" s="1159"/>
      <c r="M589" s="1155"/>
      <c r="N589" s="1161"/>
      <c r="O589" s="1161"/>
      <c r="P589" s="1161"/>
      <c r="Q589" s="838"/>
      <c r="R589" s="839"/>
      <c r="S589" s="1155"/>
      <c r="T589" s="924"/>
    </row>
    <row r="590" spans="1:20" ht="14.25" customHeight="1">
      <c r="A590" s="1134"/>
      <c r="B590" s="1134"/>
      <c r="C590" s="1137"/>
      <c r="D590" s="1138"/>
      <c r="E590" s="1137"/>
      <c r="F590" s="1138"/>
      <c r="G590" s="391"/>
      <c r="H590" s="328">
        <v>359.61</v>
      </c>
      <c r="I590" s="329">
        <v>359.61</v>
      </c>
      <c r="J590" s="329">
        <v>63.47</v>
      </c>
      <c r="K590" s="330">
        <v>63.46</v>
      </c>
      <c r="L590" s="1159"/>
      <c r="M590" s="1155"/>
      <c r="N590" s="1161"/>
      <c r="O590" s="1161"/>
      <c r="P590" s="1161"/>
      <c r="Q590" s="838"/>
      <c r="R590" s="839"/>
      <c r="S590" s="1155"/>
      <c r="T590" s="924"/>
    </row>
    <row r="591" spans="1:20" ht="14.25" customHeight="1">
      <c r="A591" s="1134"/>
      <c r="B591" s="1134"/>
      <c r="C591" s="1137"/>
      <c r="D591" s="1138"/>
      <c r="E591" s="1137"/>
      <c r="F591" s="1138"/>
      <c r="G591" s="391"/>
      <c r="H591" s="328">
        <v>1541</v>
      </c>
      <c r="I591" s="329">
        <v>1541</v>
      </c>
      <c r="J591" s="329">
        <v>271.94</v>
      </c>
      <c r="K591" s="330">
        <v>271.94</v>
      </c>
      <c r="L591" s="1159"/>
      <c r="M591" s="1155"/>
      <c r="N591" s="1161"/>
      <c r="O591" s="1161"/>
      <c r="P591" s="1161"/>
      <c r="Q591" s="838"/>
      <c r="R591" s="839"/>
      <c r="S591" s="1155"/>
      <c r="T591" s="924"/>
    </row>
    <row r="592" spans="1:20" ht="14.25" customHeight="1">
      <c r="A592" s="1134"/>
      <c r="B592" s="1134"/>
      <c r="C592" s="1137"/>
      <c r="D592" s="1138"/>
      <c r="E592" s="1137"/>
      <c r="F592" s="1138"/>
      <c r="G592" s="391"/>
      <c r="H592" s="328">
        <v>520.57</v>
      </c>
      <c r="I592" s="329">
        <v>520.57</v>
      </c>
      <c r="J592" s="329">
        <v>91.88</v>
      </c>
      <c r="K592" s="330">
        <v>91.87</v>
      </c>
      <c r="L592" s="1159"/>
      <c r="M592" s="1155"/>
      <c r="N592" s="1161"/>
      <c r="O592" s="1161"/>
      <c r="P592" s="1161"/>
      <c r="Q592" s="838"/>
      <c r="R592" s="839"/>
      <c r="S592" s="1155"/>
      <c r="T592" s="924"/>
    </row>
    <row r="593" spans="1:20" ht="14.25" customHeight="1">
      <c r="A593" s="1134"/>
      <c r="B593" s="1134"/>
      <c r="C593" s="1137"/>
      <c r="D593" s="1138"/>
      <c r="E593" s="1137"/>
      <c r="F593" s="1138"/>
      <c r="G593" s="391"/>
      <c r="H593" s="328">
        <v>3220.97</v>
      </c>
      <c r="I593" s="329">
        <v>3220.97</v>
      </c>
      <c r="J593" s="329">
        <v>568.42</v>
      </c>
      <c r="K593" s="330">
        <v>568.41</v>
      </c>
      <c r="L593" s="1159"/>
      <c r="M593" s="1155"/>
      <c r="N593" s="1161"/>
      <c r="O593" s="1161"/>
      <c r="P593" s="1161"/>
      <c r="Q593" s="838"/>
      <c r="R593" s="839"/>
      <c r="S593" s="1155"/>
      <c r="T593" s="924"/>
    </row>
    <row r="594" spans="1:20" ht="14.25" customHeight="1" thickBot="1">
      <c r="A594" s="1128"/>
      <c r="B594" s="1128"/>
      <c r="C594" s="1146"/>
      <c r="D594" s="1147"/>
      <c r="E594" s="1146"/>
      <c r="F594" s="1147"/>
      <c r="G594" s="400"/>
      <c r="H594" s="875">
        <v>27755.25</v>
      </c>
      <c r="I594" s="876">
        <v>27755.25</v>
      </c>
      <c r="J594" s="876">
        <v>4898</v>
      </c>
      <c r="K594" s="877">
        <v>4897.99</v>
      </c>
      <c r="L594" s="1157"/>
      <c r="M594" s="1157"/>
      <c r="N594" s="1132"/>
      <c r="O594" s="1157"/>
      <c r="P594" s="1157"/>
      <c r="Q594" s="842"/>
      <c r="R594" s="841"/>
      <c r="S594" s="1157"/>
      <c r="T594" s="1157"/>
    </row>
    <row r="595" spans="1:20" ht="26.25" customHeight="1">
      <c r="A595" s="1061" t="s">
        <v>175</v>
      </c>
      <c r="B595" s="1059" t="s">
        <v>176</v>
      </c>
      <c r="C595" s="272">
        <f>242471*2</f>
        <v>484942</v>
      </c>
      <c r="D595" s="271">
        <f>42789*2</f>
        <v>85578</v>
      </c>
      <c r="E595" s="272">
        <v>484942</v>
      </c>
      <c r="F595" s="271">
        <v>85578</v>
      </c>
      <c r="G595" s="371">
        <v>570520</v>
      </c>
      <c r="H595" s="878">
        <v>85000</v>
      </c>
      <c r="I595" s="879">
        <v>85000</v>
      </c>
      <c r="J595" s="879">
        <v>15000</v>
      </c>
      <c r="K595" s="880">
        <v>15000</v>
      </c>
      <c r="L595" s="1159">
        <f>SUM(H595:K596)</f>
        <v>304163.59</v>
      </c>
      <c r="M595" s="1155">
        <f>L595/E596*100</f>
        <v>53.31339655051532</v>
      </c>
      <c r="N595" s="1161">
        <v>64563</v>
      </c>
      <c r="O595" s="1161">
        <f>N595/E595*100</f>
        <v>13.31355089887038</v>
      </c>
      <c r="P595" s="1161">
        <v>64563</v>
      </c>
      <c r="Q595" s="1028">
        <f>P595/E595*100</f>
        <v>13.31355089887038</v>
      </c>
      <c r="R595" s="779">
        <f>E595+F595</f>
        <v>570520</v>
      </c>
      <c r="S595" s="1115">
        <f>P595/E595*100</f>
        <v>13.31355089887038</v>
      </c>
      <c r="T595" s="921">
        <f>N595/SUM(H595:I596)*100</f>
        <v>24.972244037109444</v>
      </c>
    </row>
    <row r="596" spans="1:20" ht="26.25" customHeight="1" thickBot="1">
      <c r="A596" s="1062"/>
      <c r="B596" s="1060"/>
      <c r="C596" s="1048">
        <f>C595+D595</f>
        <v>570520</v>
      </c>
      <c r="D596" s="1034"/>
      <c r="E596" s="1048">
        <v>570520</v>
      </c>
      <c r="F596" s="1034"/>
      <c r="G596" s="382">
        <v>570520</v>
      </c>
      <c r="H596" s="710">
        <v>44269.52</v>
      </c>
      <c r="I596" s="711">
        <v>44269.52</v>
      </c>
      <c r="J596" s="711">
        <v>7812.28</v>
      </c>
      <c r="K596" s="712">
        <v>7812.27</v>
      </c>
      <c r="L596" s="1132"/>
      <c r="M596" s="1108"/>
      <c r="N596" s="1132"/>
      <c r="O596" s="1126"/>
      <c r="P596" s="1132"/>
      <c r="Q596" s="1085"/>
      <c r="R596" s="779">
        <f>E596</f>
        <v>570520</v>
      </c>
      <c r="S596" s="1116"/>
      <c r="T596" s="922"/>
    </row>
    <row r="597" spans="1:20" ht="17.25" customHeight="1">
      <c r="A597" s="1133" t="s">
        <v>170</v>
      </c>
      <c r="B597" s="1133" t="s">
        <v>171</v>
      </c>
      <c r="C597" s="261">
        <f>443893+443892</f>
        <v>887785</v>
      </c>
      <c r="D597" s="193">
        <f>78334+78334</f>
        <v>156668</v>
      </c>
      <c r="E597" s="261">
        <v>887785</v>
      </c>
      <c r="F597" s="193">
        <v>156668</v>
      </c>
      <c r="G597" s="370">
        <v>1044453</v>
      </c>
      <c r="H597" s="318">
        <v>158555.06</v>
      </c>
      <c r="I597" s="319">
        <v>158555.06</v>
      </c>
      <c r="J597" s="319">
        <v>27980.32</v>
      </c>
      <c r="K597" s="320">
        <v>27980.31</v>
      </c>
      <c r="L597" s="1158">
        <f>SUM(H597:K600)</f>
        <v>1044181.7899999998</v>
      </c>
      <c r="M597" s="1154">
        <f>L597/E598*100</f>
        <v>99.97403329781233</v>
      </c>
      <c r="N597" s="1160">
        <v>887554</v>
      </c>
      <c r="O597" s="1160">
        <f>N597/E597*100</f>
        <v>99.97398018664428</v>
      </c>
      <c r="P597" s="1160">
        <v>887554</v>
      </c>
      <c r="Q597" s="1083">
        <f>P597/E597*100</f>
        <v>99.97398018664428</v>
      </c>
      <c r="R597" s="779">
        <f>E597+F597</f>
        <v>1044453</v>
      </c>
      <c r="S597" s="1154">
        <f>P597/E597*100</f>
        <v>99.97398018664428</v>
      </c>
      <c r="T597" s="923">
        <f>N597/SUM(H597:I600)*100</f>
        <v>99.99994366543127</v>
      </c>
    </row>
    <row r="598" spans="1:20" ht="17.25" customHeight="1" thickBot="1">
      <c r="A598" s="1134"/>
      <c r="B598" s="1134"/>
      <c r="C598" s="1135">
        <f>C597+D597</f>
        <v>1044453</v>
      </c>
      <c r="D598" s="1136"/>
      <c r="E598" s="1135">
        <v>1044453</v>
      </c>
      <c r="F598" s="1136"/>
      <c r="G598" s="1091">
        <v>1044453</v>
      </c>
      <c r="H598" s="328">
        <v>156010.87</v>
      </c>
      <c r="I598" s="329">
        <v>156010.87</v>
      </c>
      <c r="J598" s="329">
        <v>27531.33</v>
      </c>
      <c r="K598" s="330">
        <v>27531.33</v>
      </c>
      <c r="L598" s="1156"/>
      <c r="M598" s="1155"/>
      <c r="N598" s="1156"/>
      <c r="O598" s="1161"/>
      <c r="P598" s="1156"/>
      <c r="Q598" s="1085"/>
      <c r="R598" s="779"/>
      <c r="S598" s="1155"/>
      <c r="T598" s="924"/>
    </row>
    <row r="599" spans="1:20" ht="13.5" thickBot="1">
      <c r="A599" s="1063"/>
      <c r="B599" s="1067"/>
      <c r="C599" s="1137"/>
      <c r="D599" s="1138"/>
      <c r="E599" s="1144"/>
      <c r="F599" s="1145"/>
      <c r="G599" s="1081"/>
      <c r="H599" s="328">
        <v>107131.96</v>
      </c>
      <c r="I599" s="329">
        <v>107131.96</v>
      </c>
      <c r="J599" s="329">
        <v>18905.64</v>
      </c>
      <c r="K599" s="330">
        <v>18905.64</v>
      </c>
      <c r="L599" s="1156"/>
      <c r="M599" s="1156"/>
      <c r="N599" s="1156"/>
      <c r="O599" s="1161"/>
      <c r="P599" s="1156"/>
      <c r="Q599" s="838"/>
      <c r="R599" s="779">
        <f>E598</f>
        <v>1044453</v>
      </c>
      <c r="S599" s="1155"/>
      <c r="T599" s="924"/>
    </row>
    <row r="600" spans="1:20" ht="13.5" thickBot="1">
      <c r="A600" s="1128"/>
      <c r="B600" s="1128"/>
      <c r="C600" s="1146"/>
      <c r="D600" s="1147"/>
      <c r="E600" s="1146"/>
      <c r="F600" s="1147"/>
      <c r="G600" s="391"/>
      <c r="H600" s="710">
        <v>22079.36</v>
      </c>
      <c r="I600" s="711">
        <v>22079.36</v>
      </c>
      <c r="J600" s="711">
        <v>3896.37</v>
      </c>
      <c r="K600" s="712">
        <v>3896.35</v>
      </c>
      <c r="L600" s="1132"/>
      <c r="M600" s="1132"/>
      <c r="N600" s="1132"/>
      <c r="O600" s="1132"/>
      <c r="P600" s="1132"/>
      <c r="Q600" s="838"/>
      <c r="R600" s="779"/>
      <c r="S600" s="1132"/>
      <c r="T600" s="925"/>
    </row>
    <row r="601" spans="1:20" ht="15.75" customHeight="1">
      <c r="A601" s="1133" t="s">
        <v>185</v>
      </c>
      <c r="B601" s="1133" t="s">
        <v>186</v>
      </c>
      <c r="C601" s="261">
        <v>537456</v>
      </c>
      <c r="D601" s="193">
        <v>94845</v>
      </c>
      <c r="E601" s="261">
        <v>537456</v>
      </c>
      <c r="F601" s="193">
        <v>94845</v>
      </c>
      <c r="G601" s="370">
        <v>635095</v>
      </c>
      <c r="H601" s="318">
        <v>77525.69</v>
      </c>
      <c r="I601" s="319">
        <v>77525.69</v>
      </c>
      <c r="J601" s="319">
        <v>13681</v>
      </c>
      <c r="K601" s="320">
        <v>13681</v>
      </c>
      <c r="L601" s="1158">
        <f>SUM(H601:K609)</f>
        <v>632296.4099999999</v>
      </c>
      <c r="M601" s="1154">
        <f>L601/E602*100</f>
        <v>99.99927407990813</v>
      </c>
      <c r="N601" s="1160">
        <v>537454</v>
      </c>
      <c r="O601" s="1160">
        <f>N601/E601*100</f>
        <v>99.99962787651454</v>
      </c>
      <c r="P601" s="1160">
        <f>422077+41811+41811+15878+15877</f>
        <v>537454</v>
      </c>
      <c r="Q601" s="1083">
        <f>P601/E601*100</f>
        <v>99.99962787651454</v>
      </c>
      <c r="R601" s="779">
        <f>E601+F601</f>
        <v>632301</v>
      </c>
      <c r="S601" s="1114">
        <f>P601/E601*100</f>
        <v>99.99962787651454</v>
      </c>
      <c r="T601" s="920">
        <f>N601/SUM(H601:I609)*100</f>
        <v>100.00039073264047</v>
      </c>
    </row>
    <row r="602" spans="1:20" ht="15.75" customHeight="1" thickBot="1">
      <c r="A602" s="1134"/>
      <c r="B602" s="1134"/>
      <c r="C602" s="1148">
        <f>C601+D601</f>
        <v>632301</v>
      </c>
      <c r="D602" s="1149"/>
      <c r="E602" s="1135">
        <f>E601+F601</f>
        <v>632301</v>
      </c>
      <c r="F602" s="1136"/>
      <c r="G602" s="1091">
        <v>635095</v>
      </c>
      <c r="H602" s="328">
        <v>70159.09</v>
      </c>
      <c r="I602" s="329">
        <v>70159.09</v>
      </c>
      <c r="J602" s="329">
        <v>12381.02</v>
      </c>
      <c r="K602" s="330">
        <v>12381.01</v>
      </c>
      <c r="L602" s="1159"/>
      <c r="M602" s="1155"/>
      <c r="N602" s="1161"/>
      <c r="O602" s="1161"/>
      <c r="P602" s="1161"/>
      <c r="Q602" s="1085"/>
      <c r="R602" s="779"/>
      <c r="S602" s="1115"/>
      <c r="T602" s="921"/>
    </row>
    <row r="603" spans="1:20" ht="15.75" customHeight="1">
      <c r="A603" s="1134"/>
      <c r="B603" s="1134"/>
      <c r="C603" s="1150"/>
      <c r="D603" s="1151"/>
      <c r="E603" s="1137"/>
      <c r="F603" s="1138"/>
      <c r="G603" s="1092"/>
      <c r="H603" s="328">
        <v>2710.79</v>
      </c>
      <c r="I603" s="329">
        <v>2710.79</v>
      </c>
      <c r="J603" s="329">
        <v>478.39</v>
      </c>
      <c r="K603" s="330">
        <v>478.38</v>
      </c>
      <c r="L603" s="1159"/>
      <c r="M603" s="1155"/>
      <c r="N603" s="1161"/>
      <c r="O603" s="1161"/>
      <c r="P603" s="1161"/>
      <c r="Q603" s="838"/>
      <c r="R603" s="779"/>
      <c r="S603" s="1115"/>
      <c r="T603" s="921"/>
    </row>
    <row r="604" spans="1:20" ht="15.75" customHeight="1">
      <c r="A604" s="1134"/>
      <c r="B604" s="1134"/>
      <c r="C604" s="1150"/>
      <c r="D604" s="1151"/>
      <c r="E604" s="1137"/>
      <c r="F604" s="1138"/>
      <c r="G604" s="1092"/>
      <c r="H604" s="328">
        <v>54858.61</v>
      </c>
      <c r="I604" s="329">
        <v>54858.61</v>
      </c>
      <c r="J604" s="329">
        <v>9680.94</v>
      </c>
      <c r="K604" s="330">
        <v>9680.93</v>
      </c>
      <c r="L604" s="1159"/>
      <c r="M604" s="1155"/>
      <c r="N604" s="1161"/>
      <c r="O604" s="1161"/>
      <c r="P604" s="1161"/>
      <c r="Q604" s="838"/>
      <c r="R604" s="779"/>
      <c r="S604" s="1115"/>
      <c r="T604" s="921"/>
    </row>
    <row r="605" spans="1:20" ht="15.75" customHeight="1">
      <c r="A605" s="1134"/>
      <c r="B605" s="1134"/>
      <c r="C605" s="1150"/>
      <c r="D605" s="1151"/>
      <c r="E605" s="1137"/>
      <c r="F605" s="1138"/>
      <c r="G605" s="1092"/>
      <c r="H605" s="328">
        <v>5783.91</v>
      </c>
      <c r="I605" s="329">
        <v>5783.91</v>
      </c>
      <c r="J605" s="329">
        <v>1020.69</v>
      </c>
      <c r="K605" s="330">
        <v>1020.69</v>
      </c>
      <c r="L605" s="1159"/>
      <c r="M605" s="1155"/>
      <c r="N605" s="1161"/>
      <c r="O605" s="1161"/>
      <c r="P605" s="1161"/>
      <c r="Q605" s="838"/>
      <c r="R605" s="884"/>
      <c r="S605" s="1115"/>
      <c r="T605" s="921"/>
    </row>
    <row r="606" spans="1:20" ht="15.75" customHeight="1">
      <c r="A606" s="1134"/>
      <c r="B606" s="1134"/>
      <c r="C606" s="1150"/>
      <c r="D606" s="1151"/>
      <c r="E606" s="1137"/>
      <c r="F606" s="1138"/>
      <c r="G606" s="1092"/>
      <c r="H606" s="328">
        <v>25349.07</v>
      </c>
      <c r="I606" s="329">
        <v>25349.07</v>
      </c>
      <c r="J606" s="329">
        <v>4473.37</v>
      </c>
      <c r="K606" s="330">
        <v>4473.37</v>
      </c>
      <c r="L606" s="1159"/>
      <c r="M606" s="1155"/>
      <c r="N606" s="1161"/>
      <c r="O606" s="1161"/>
      <c r="P606" s="1161"/>
      <c r="Q606" s="838"/>
      <c r="R606" s="884"/>
      <c r="S606" s="1115"/>
      <c r="T606" s="921"/>
    </row>
    <row r="607" spans="1:20" ht="15.75" customHeight="1" thickBot="1">
      <c r="A607" s="1134"/>
      <c r="B607" s="1134"/>
      <c r="C607" s="1150"/>
      <c r="D607" s="1151"/>
      <c r="E607" s="1137"/>
      <c r="F607" s="1138"/>
      <c r="G607" s="1081"/>
      <c r="H607" s="328">
        <v>18623.64</v>
      </c>
      <c r="I607" s="329">
        <v>18623.64</v>
      </c>
      <c r="J607" s="329">
        <v>3286.54</v>
      </c>
      <c r="K607" s="330">
        <v>3286.53</v>
      </c>
      <c r="L607" s="1159"/>
      <c r="M607" s="1155"/>
      <c r="N607" s="1161"/>
      <c r="O607" s="1161"/>
      <c r="P607" s="1161"/>
      <c r="Q607" s="838"/>
      <c r="R607" s="884">
        <f>E602</f>
        <v>632301</v>
      </c>
      <c r="S607" s="1115"/>
      <c r="T607" s="921"/>
    </row>
    <row r="608" spans="1:20" ht="15.75" customHeight="1">
      <c r="A608" s="1134"/>
      <c r="B608" s="1134"/>
      <c r="C608" s="1150"/>
      <c r="D608" s="1151"/>
      <c r="E608" s="1137"/>
      <c r="F608" s="1138"/>
      <c r="G608" s="391"/>
      <c r="H608" s="328">
        <v>278.85</v>
      </c>
      <c r="I608" s="329">
        <v>278.85</v>
      </c>
      <c r="J608" s="329">
        <v>49.22</v>
      </c>
      <c r="K608" s="330">
        <v>49.21</v>
      </c>
      <c r="L608" s="1159"/>
      <c r="M608" s="1155"/>
      <c r="N608" s="1161"/>
      <c r="O608" s="1161"/>
      <c r="P608" s="1161"/>
      <c r="Q608" s="838"/>
      <c r="R608" s="884"/>
      <c r="S608" s="1115"/>
      <c r="T608" s="921"/>
    </row>
    <row r="609" spans="1:20" ht="15.75" customHeight="1" thickBot="1">
      <c r="A609" s="1090"/>
      <c r="B609" s="1090"/>
      <c r="C609" s="1152"/>
      <c r="D609" s="1153"/>
      <c r="E609" s="1139"/>
      <c r="F609" s="1140"/>
      <c r="G609" s="391"/>
      <c r="H609" s="710">
        <v>13436.3</v>
      </c>
      <c r="I609" s="711">
        <v>13436.3</v>
      </c>
      <c r="J609" s="711">
        <v>2371.11</v>
      </c>
      <c r="K609" s="712">
        <v>2371.11</v>
      </c>
      <c r="L609" s="1113"/>
      <c r="M609" s="1108"/>
      <c r="N609" s="1126"/>
      <c r="O609" s="1126"/>
      <c r="P609" s="1126"/>
      <c r="Q609" s="838"/>
      <c r="R609" s="884"/>
      <c r="S609" s="1116"/>
      <c r="T609" s="922"/>
    </row>
    <row r="610" spans="1:20" ht="16.5" customHeight="1">
      <c r="A610" s="907" t="s">
        <v>235</v>
      </c>
      <c r="B610" s="907" t="s">
        <v>234</v>
      </c>
      <c r="C610" s="261">
        <f>952338*2</f>
        <v>1904676</v>
      </c>
      <c r="D610" s="193">
        <f>168059.5*2</f>
        <v>336119</v>
      </c>
      <c r="E610" s="261">
        <v>1904676</v>
      </c>
      <c r="F610" s="291">
        <v>336119</v>
      </c>
      <c r="G610" s="370">
        <v>2240795</v>
      </c>
      <c r="H610" s="318">
        <v>1186.21</v>
      </c>
      <c r="I610" s="319">
        <v>1186.21</v>
      </c>
      <c r="J610" s="319">
        <v>209.33</v>
      </c>
      <c r="K610" s="320">
        <v>209.33</v>
      </c>
      <c r="L610" s="1158">
        <f>SUM(H610:K619)</f>
        <v>2099222.7699999996</v>
      </c>
      <c r="M610" s="1154">
        <f>SUM(L610/E611*100)</f>
        <v>93.6820534676309</v>
      </c>
      <c r="N610" s="1160">
        <f>2372+3271+58512+486181</f>
        <v>550336</v>
      </c>
      <c r="O610" s="1160">
        <f>N610/E610*100</f>
        <v>28.89394311683457</v>
      </c>
      <c r="P610" s="1160">
        <v>550336</v>
      </c>
      <c r="Q610" s="838"/>
      <c r="R610" s="884">
        <f>E610+F610</f>
        <v>2240795</v>
      </c>
      <c r="S610" s="1154">
        <f>P610/E610*100</f>
        <v>28.89394311683457</v>
      </c>
      <c r="T610" s="923">
        <f>N610/SUM(H610:I619)*100</f>
        <v>30.842563836540197</v>
      </c>
    </row>
    <row r="611" spans="1:20" ht="16.5" customHeight="1">
      <c r="A611" s="908"/>
      <c r="B611" s="908"/>
      <c r="C611" s="1135">
        <f>C610+D610</f>
        <v>2240795</v>
      </c>
      <c r="D611" s="1136"/>
      <c r="E611" s="1135">
        <v>2240795</v>
      </c>
      <c r="F611" s="1141"/>
      <c r="G611" s="274"/>
      <c r="H611" s="328">
        <v>1635.68</v>
      </c>
      <c r="I611" s="329">
        <v>1635.68</v>
      </c>
      <c r="J611" s="329">
        <v>288.65</v>
      </c>
      <c r="K611" s="330">
        <v>288.65</v>
      </c>
      <c r="L611" s="1159"/>
      <c r="M611" s="1155"/>
      <c r="N611" s="1161"/>
      <c r="O611" s="1161"/>
      <c r="P611" s="1161"/>
      <c r="Q611" s="838"/>
      <c r="R611" s="884"/>
      <c r="S611" s="1155"/>
      <c r="T611" s="924"/>
    </row>
    <row r="612" spans="1:20" ht="18" customHeight="1" thickBot="1">
      <c r="A612" s="908"/>
      <c r="B612" s="908"/>
      <c r="C612" s="1137"/>
      <c r="D612" s="1138"/>
      <c r="E612" s="1137"/>
      <c r="F612" s="1142"/>
      <c r="G612" s="396">
        <v>2240795</v>
      </c>
      <c r="H612" s="328">
        <v>17265.27</v>
      </c>
      <c r="I612" s="329">
        <f>H612</f>
        <v>17265.27</v>
      </c>
      <c r="J612" s="329">
        <v>3046.81</v>
      </c>
      <c r="K612" s="330">
        <v>3046.81</v>
      </c>
      <c r="L612" s="1159"/>
      <c r="M612" s="1155"/>
      <c r="N612" s="1161"/>
      <c r="O612" s="1161"/>
      <c r="P612" s="1161"/>
      <c r="Q612" s="838"/>
      <c r="R612" s="884">
        <f>E611</f>
        <v>2240795</v>
      </c>
      <c r="S612" s="1155"/>
      <c r="T612" s="924"/>
    </row>
    <row r="613" spans="1:20" ht="18" customHeight="1">
      <c r="A613" s="908"/>
      <c r="B613" s="908"/>
      <c r="C613" s="1137"/>
      <c r="D613" s="1138"/>
      <c r="E613" s="1137"/>
      <c r="F613" s="1142"/>
      <c r="G613" s="397"/>
      <c r="H613" s="328">
        <v>10357.85</v>
      </c>
      <c r="I613" s="329">
        <v>10357.85</v>
      </c>
      <c r="J613" s="329">
        <v>1827.87</v>
      </c>
      <c r="K613" s="330">
        <v>1827.86</v>
      </c>
      <c r="L613" s="1159"/>
      <c r="M613" s="1155"/>
      <c r="N613" s="1161"/>
      <c r="O613" s="1161"/>
      <c r="P613" s="1161"/>
      <c r="Q613" s="838"/>
      <c r="R613" s="884"/>
      <c r="S613" s="1155"/>
      <c r="T613" s="924"/>
    </row>
    <row r="614" spans="1:20" ht="18" customHeight="1">
      <c r="A614" s="908"/>
      <c r="B614" s="908"/>
      <c r="C614" s="1137"/>
      <c r="D614" s="1138"/>
      <c r="E614" s="1137"/>
      <c r="F614" s="1142"/>
      <c r="G614" s="397"/>
      <c r="H614" s="328">
        <v>42319.71</v>
      </c>
      <c r="I614" s="329">
        <v>42319.71</v>
      </c>
      <c r="J614" s="329">
        <v>7468.2</v>
      </c>
      <c r="K614" s="330">
        <v>7468.19</v>
      </c>
      <c r="L614" s="1159"/>
      <c r="M614" s="1155"/>
      <c r="N614" s="1161"/>
      <c r="O614" s="1161"/>
      <c r="P614" s="1161"/>
      <c r="Q614" s="838"/>
      <c r="R614" s="884"/>
      <c r="S614" s="1155"/>
      <c r="T614" s="924"/>
    </row>
    <row r="615" spans="1:20" ht="18" customHeight="1">
      <c r="A615" s="908"/>
      <c r="B615" s="908"/>
      <c r="C615" s="1137"/>
      <c r="D615" s="1138"/>
      <c r="E615" s="1137"/>
      <c r="F615" s="1142"/>
      <c r="G615" s="397"/>
      <c r="H615" s="878">
        <v>1632.85</v>
      </c>
      <c r="I615" s="879">
        <v>1632.85</v>
      </c>
      <c r="J615" s="879">
        <v>288.15</v>
      </c>
      <c r="K615" s="880">
        <v>288.15</v>
      </c>
      <c r="L615" s="1159"/>
      <c r="M615" s="1155"/>
      <c r="N615" s="1161"/>
      <c r="O615" s="1161"/>
      <c r="P615" s="1161"/>
      <c r="Q615" s="838"/>
      <c r="R615" s="884"/>
      <c r="S615" s="1155"/>
      <c r="T615" s="924"/>
    </row>
    <row r="616" spans="1:20" ht="18" customHeight="1">
      <c r="A616" s="908"/>
      <c r="B616" s="908"/>
      <c r="C616" s="1137"/>
      <c r="D616" s="1138"/>
      <c r="E616" s="1137"/>
      <c r="F616" s="1142"/>
      <c r="G616" s="397"/>
      <c r="H616" s="878">
        <v>199147.82</v>
      </c>
      <c r="I616" s="879">
        <v>199147.82</v>
      </c>
      <c r="J616" s="879">
        <v>35143.73</v>
      </c>
      <c r="K616" s="880">
        <v>35143.73</v>
      </c>
      <c r="L616" s="1159"/>
      <c r="M616" s="1155"/>
      <c r="N616" s="1161"/>
      <c r="O616" s="1161"/>
      <c r="P616" s="1161"/>
      <c r="Q616" s="838"/>
      <c r="R616" s="884"/>
      <c r="S616" s="1155"/>
      <c r="T616" s="924"/>
    </row>
    <row r="617" spans="1:20" ht="18" customHeight="1">
      <c r="A617" s="908"/>
      <c r="B617" s="908"/>
      <c r="C617" s="1137"/>
      <c r="D617" s="1138"/>
      <c r="E617" s="1137"/>
      <c r="F617" s="1142"/>
      <c r="G617" s="397"/>
      <c r="H617" s="878">
        <v>86807.39</v>
      </c>
      <c r="I617" s="879">
        <v>86807.39</v>
      </c>
      <c r="J617" s="879">
        <v>15318.95</v>
      </c>
      <c r="K617" s="880">
        <v>15318.95</v>
      </c>
      <c r="L617" s="1159"/>
      <c r="M617" s="1155"/>
      <c r="N617" s="1161"/>
      <c r="O617" s="1161"/>
      <c r="P617" s="1161"/>
      <c r="Q617" s="838"/>
      <c r="R617" s="884"/>
      <c r="S617" s="1155"/>
      <c r="T617" s="924"/>
    </row>
    <row r="618" spans="1:20" ht="18" customHeight="1">
      <c r="A618" s="908"/>
      <c r="B618" s="908"/>
      <c r="C618" s="1137"/>
      <c r="D618" s="1138"/>
      <c r="E618" s="1137"/>
      <c r="F618" s="1142"/>
      <c r="G618" s="397"/>
      <c r="H618" s="878">
        <v>1623.19</v>
      </c>
      <c r="I618" s="879">
        <v>1623.19</v>
      </c>
      <c r="J618" s="879">
        <v>286.45</v>
      </c>
      <c r="K618" s="880">
        <v>286.44</v>
      </c>
      <c r="L618" s="1159"/>
      <c r="M618" s="1155"/>
      <c r="N618" s="1161"/>
      <c r="O618" s="1161"/>
      <c r="P618" s="1161"/>
      <c r="Q618" s="838"/>
      <c r="R618" s="884"/>
      <c r="S618" s="1155"/>
      <c r="T618" s="924"/>
    </row>
    <row r="619" spans="1:20" ht="18" customHeight="1" thickBot="1">
      <c r="A619" s="919"/>
      <c r="B619" s="919"/>
      <c r="C619" s="1139"/>
      <c r="D619" s="1140"/>
      <c r="E619" s="1139"/>
      <c r="F619" s="1143"/>
      <c r="G619" s="397"/>
      <c r="H619" s="878">
        <v>530193.7</v>
      </c>
      <c r="I619" s="879">
        <v>530193.7</v>
      </c>
      <c r="J619" s="879">
        <v>93563.59</v>
      </c>
      <c r="K619" s="880">
        <v>93563.59</v>
      </c>
      <c r="L619" s="1113"/>
      <c r="M619" s="1108"/>
      <c r="N619" s="1126"/>
      <c r="O619" s="1126"/>
      <c r="P619" s="1126"/>
      <c r="Q619" s="838"/>
      <c r="R619" s="884"/>
      <c r="S619" s="1108"/>
      <c r="T619" s="927"/>
    </row>
    <row r="620" spans="1:20" ht="21" customHeight="1">
      <c r="A620" s="1133" t="s">
        <v>146</v>
      </c>
      <c r="B620" s="1133" t="s">
        <v>147</v>
      </c>
      <c r="C620" s="272">
        <f>314449+314449</f>
        <v>628898</v>
      </c>
      <c r="D620" s="271">
        <v>69878</v>
      </c>
      <c r="E620" s="268">
        <v>628898</v>
      </c>
      <c r="F620" s="290">
        <v>69878</v>
      </c>
      <c r="G620" s="370">
        <v>698776</v>
      </c>
      <c r="H620" s="318">
        <v>88749</v>
      </c>
      <c r="I620" s="319">
        <v>88749</v>
      </c>
      <c r="J620" s="319">
        <v>9861</v>
      </c>
      <c r="K620" s="320">
        <v>9861</v>
      </c>
      <c r="L620" s="1158">
        <f>SUM(H620:K624)</f>
        <v>663837.2</v>
      </c>
      <c r="M620" s="1154">
        <f>L620/E621*100</f>
        <v>95</v>
      </c>
      <c r="N620" s="1160">
        <f>41183+41182+34889+47723*2+22247*2+75199*2</f>
        <v>407592</v>
      </c>
      <c r="O620" s="1160">
        <f>N620/E620*100</f>
        <v>64.810509812402</v>
      </c>
      <c r="P620" s="1160">
        <f>41183+41182+17444+17445+47723*2+22247*2+75199*2</f>
        <v>407592</v>
      </c>
      <c r="Q620" s="1083">
        <f>P620/E620*100</f>
        <v>64.810509812402</v>
      </c>
      <c r="R620" s="779">
        <f>E620+F620</f>
        <v>698776</v>
      </c>
      <c r="S620" s="1154">
        <f>P620/E620*100</f>
        <v>64.810509812402</v>
      </c>
      <c r="T620" s="923">
        <f>N620/SUM(H620:I624)*100</f>
        <v>68.22158927621264</v>
      </c>
    </row>
    <row r="621" spans="1:20" ht="20.25" customHeight="1" thickBot="1">
      <c r="A621" s="1134"/>
      <c r="B621" s="1067"/>
      <c r="C621" s="1135">
        <f>C620+D620</f>
        <v>698776</v>
      </c>
      <c r="D621" s="1136"/>
      <c r="E621" s="1135">
        <v>698776</v>
      </c>
      <c r="F621" s="1141"/>
      <c r="G621" s="384">
        <v>698776</v>
      </c>
      <c r="H621" s="328">
        <v>71710.6</v>
      </c>
      <c r="I621" s="329">
        <v>71710.6</v>
      </c>
      <c r="J621" s="329">
        <v>7967.86</v>
      </c>
      <c r="K621" s="330">
        <v>7967.85</v>
      </c>
      <c r="L621" s="914"/>
      <c r="M621" s="1155"/>
      <c r="N621" s="1161"/>
      <c r="O621" s="1161"/>
      <c r="P621" s="1161"/>
      <c r="Q621" s="1085"/>
      <c r="R621" s="779">
        <f>E621</f>
        <v>698776</v>
      </c>
      <c r="S621" s="1155"/>
      <c r="T621" s="924"/>
    </row>
    <row r="622" spans="1:20" ht="20.25" customHeight="1">
      <c r="A622" s="1067"/>
      <c r="B622" s="1067"/>
      <c r="C622" s="1144"/>
      <c r="D622" s="1145"/>
      <c r="E622" s="1144"/>
      <c r="F622" s="1106"/>
      <c r="G622" s="382"/>
      <c r="H622" s="328">
        <v>23947.56</v>
      </c>
      <c r="I622" s="329">
        <v>23947.56</v>
      </c>
      <c r="J622" s="329">
        <v>2660.84</v>
      </c>
      <c r="K622" s="330">
        <v>2660.84</v>
      </c>
      <c r="L622" s="1156"/>
      <c r="M622" s="1156"/>
      <c r="N622" s="1156"/>
      <c r="O622" s="1156"/>
      <c r="P622" s="1156"/>
      <c r="Q622" s="838"/>
      <c r="R622" s="779"/>
      <c r="S622" s="1156"/>
      <c r="T622" s="926"/>
    </row>
    <row r="623" spans="1:20" ht="20.25" customHeight="1">
      <c r="A623" s="1067"/>
      <c r="B623" s="1067"/>
      <c r="C623" s="1144"/>
      <c r="D623" s="1145"/>
      <c r="E623" s="1144"/>
      <c r="F623" s="1106"/>
      <c r="G623" s="382"/>
      <c r="H623" s="328">
        <v>26891.43</v>
      </c>
      <c r="I623" s="329">
        <v>26891.43</v>
      </c>
      <c r="J623" s="329">
        <v>2987.94</v>
      </c>
      <c r="K623" s="330">
        <v>2987.94</v>
      </c>
      <c r="L623" s="1156"/>
      <c r="M623" s="1156"/>
      <c r="N623" s="1156"/>
      <c r="O623" s="1156"/>
      <c r="P623" s="1156"/>
      <c r="Q623" s="838"/>
      <c r="R623" s="779"/>
      <c r="S623" s="1156"/>
      <c r="T623" s="926"/>
    </row>
    <row r="624" spans="1:20" ht="20.25" customHeight="1" thickBot="1">
      <c r="A624" s="1128"/>
      <c r="B624" s="1128"/>
      <c r="C624" s="1146"/>
      <c r="D624" s="1147"/>
      <c r="E624" s="1146"/>
      <c r="F624" s="1107"/>
      <c r="G624" s="382"/>
      <c r="H624" s="878">
        <v>87427.96</v>
      </c>
      <c r="I624" s="879">
        <v>87427.96</v>
      </c>
      <c r="J624" s="879">
        <v>9714.41</v>
      </c>
      <c r="K624" s="880">
        <v>9714.42</v>
      </c>
      <c r="L624" s="1132"/>
      <c r="M624" s="1132"/>
      <c r="N624" s="1132"/>
      <c r="O624" s="1132"/>
      <c r="P624" s="1132"/>
      <c r="Q624" s="838"/>
      <c r="R624" s="779"/>
      <c r="S624" s="1132"/>
      <c r="T624" s="925"/>
    </row>
    <row r="625" spans="1:20" ht="19.5" customHeight="1">
      <c r="A625" s="1133" t="s">
        <v>210</v>
      </c>
      <c r="B625" s="907" t="s">
        <v>209</v>
      </c>
      <c r="C625" s="261">
        <f>179318+179317</f>
        <v>358635</v>
      </c>
      <c r="D625" s="193">
        <f>31644*2</f>
        <v>63288</v>
      </c>
      <c r="E625" s="261">
        <v>358635</v>
      </c>
      <c r="F625" s="290">
        <v>63288</v>
      </c>
      <c r="G625" s="370">
        <v>421923</v>
      </c>
      <c r="H625" s="318">
        <v>146982.26</v>
      </c>
      <c r="I625" s="319">
        <v>146982.26</v>
      </c>
      <c r="J625" s="319">
        <v>25938.05</v>
      </c>
      <c r="K625" s="320">
        <v>25938.05</v>
      </c>
      <c r="L625" s="1158">
        <f>SUM(H625:K630)</f>
        <v>379006.9400000002</v>
      </c>
      <c r="M625" s="1154">
        <f>L625/E626*100</f>
        <v>89.82846159133305</v>
      </c>
      <c r="N625" s="1160">
        <f>305320+8418*2</f>
        <v>322156</v>
      </c>
      <c r="O625" s="1160">
        <f>N625/E625*100</f>
        <v>89.82837704072385</v>
      </c>
      <c r="P625" s="1160">
        <v>305320</v>
      </c>
      <c r="Q625" s="838"/>
      <c r="R625" s="779">
        <f>E625+F625</f>
        <v>421923</v>
      </c>
      <c r="S625" s="1114">
        <f>P625/E625*100</f>
        <v>85.13391052183975</v>
      </c>
      <c r="T625" s="920">
        <f>N625/SUM(H625:I630)*100</f>
        <v>100.00003724904846</v>
      </c>
    </row>
    <row r="626" spans="1:20" ht="19.5" customHeight="1">
      <c r="A626" s="1134"/>
      <c r="B626" s="908"/>
      <c r="C626" s="1135">
        <f>C625+D625</f>
        <v>421923</v>
      </c>
      <c r="D626" s="1136"/>
      <c r="E626" s="1135">
        <v>421923</v>
      </c>
      <c r="F626" s="1141"/>
      <c r="G626" s="274"/>
      <c r="H626" s="878"/>
      <c r="I626" s="879"/>
      <c r="J626" s="879"/>
      <c r="K626" s="880"/>
      <c r="L626" s="1159"/>
      <c r="M626" s="1155"/>
      <c r="N626" s="1161"/>
      <c r="O626" s="1161"/>
      <c r="P626" s="1161"/>
      <c r="Q626" s="838"/>
      <c r="R626" s="779"/>
      <c r="S626" s="1115"/>
      <c r="T626" s="921"/>
    </row>
    <row r="627" spans="1:20" ht="19.5" customHeight="1">
      <c r="A627" s="1134"/>
      <c r="B627" s="908"/>
      <c r="C627" s="1137"/>
      <c r="D627" s="1138"/>
      <c r="E627" s="1137"/>
      <c r="F627" s="1142"/>
      <c r="G627" s="1091">
        <v>421923</v>
      </c>
      <c r="H627" s="328">
        <v>3160.84</v>
      </c>
      <c r="I627" s="329">
        <v>3160.84</v>
      </c>
      <c r="J627" s="329">
        <v>557.8</v>
      </c>
      <c r="K627" s="330">
        <v>557.8</v>
      </c>
      <c r="L627" s="1159"/>
      <c r="M627" s="1155"/>
      <c r="N627" s="1161"/>
      <c r="O627" s="1161"/>
      <c r="P627" s="1161"/>
      <c r="Q627" s="838"/>
      <c r="R627" s="779"/>
      <c r="S627" s="1115"/>
      <c r="T627" s="921"/>
    </row>
    <row r="628" spans="1:20" ht="19.5" customHeight="1">
      <c r="A628" s="1134"/>
      <c r="B628" s="908"/>
      <c r="C628" s="1137"/>
      <c r="D628" s="1138"/>
      <c r="E628" s="1137"/>
      <c r="F628" s="1142"/>
      <c r="G628" s="1092"/>
      <c r="H628" s="328">
        <v>8290.52</v>
      </c>
      <c r="I628" s="329">
        <v>8290.52</v>
      </c>
      <c r="J628" s="329">
        <v>1463.03</v>
      </c>
      <c r="K628" s="330">
        <v>1463.03</v>
      </c>
      <c r="L628" s="1159"/>
      <c r="M628" s="1155"/>
      <c r="N628" s="1161"/>
      <c r="O628" s="1161"/>
      <c r="P628" s="1161"/>
      <c r="Q628" s="838"/>
      <c r="R628" s="779"/>
      <c r="S628" s="1115"/>
      <c r="T628" s="921"/>
    </row>
    <row r="629" spans="1:20" ht="19.5" customHeight="1" thickBot="1">
      <c r="A629" s="1134"/>
      <c r="B629" s="908"/>
      <c r="C629" s="1137"/>
      <c r="D629" s="1138"/>
      <c r="E629" s="1137"/>
      <c r="F629" s="1142"/>
      <c r="G629" s="1081"/>
      <c r="H629" s="328">
        <v>2516.68</v>
      </c>
      <c r="I629" s="329">
        <v>2516.68</v>
      </c>
      <c r="J629" s="329">
        <v>444.12</v>
      </c>
      <c r="K629" s="330">
        <v>444.12</v>
      </c>
      <c r="L629" s="1159"/>
      <c r="M629" s="1155"/>
      <c r="N629" s="1161"/>
      <c r="O629" s="1161"/>
      <c r="P629" s="1161"/>
      <c r="Q629" s="838"/>
      <c r="R629" s="779">
        <f>E626</f>
        <v>421923</v>
      </c>
      <c r="S629" s="1115"/>
      <c r="T629" s="921"/>
    </row>
    <row r="630" spans="1:20" ht="19.5" customHeight="1" thickBot="1">
      <c r="A630" s="1090"/>
      <c r="B630" s="919"/>
      <c r="C630" s="1139"/>
      <c r="D630" s="1140"/>
      <c r="E630" s="1139"/>
      <c r="F630" s="1143"/>
      <c r="G630" s="391"/>
      <c r="H630" s="710">
        <v>127.64</v>
      </c>
      <c r="I630" s="711">
        <v>127.64</v>
      </c>
      <c r="J630" s="711">
        <v>22.53</v>
      </c>
      <c r="K630" s="712">
        <v>22.53</v>
      </c>
      <c r="L630" s="1113"/>
      <c r="M630" s="1108"/>
      <c r="N630" s="1126"/>
      <c r="O630" s="1126"/>
      <c r="P630" s="1126"/>
      <c r="Q630" s="838"/>
      <c r="R630" s="779"/>
      <c r="S630" s="1116"/>
      <c r="T630" s="922"/>
    </row>
    <row r="631" spans="1:20" ht="19.5" customHeight="1">
      <c r="A631" s="1133" t="s">
        <v>158</v>
      </c>
      <c r="B631" s="1133" t="s">
        <v>159</v>
      </c>
      <c r="C631" s="261">
        <f>2*192825</f>
        <v>385650</v>
      </c>
      <c r="D631" s="193">
        <f>2*21425</f>
        <v>42850</v>
      </c>
      <c r="E631" s="261">
        <v>385650</v>
      </c>
      <c r="F631" s="193">
        <v>42850</v>
      </c>
      <c r="G631" s="370">
        <v>428500</v>
      </c>
      <c r="H631" s="318">
        <v>40500</v>
      </c>
      <c r="I631" s="319">
        <v>40500</v>
      </c>
      <c r="J631" s="319">
        <v>4500</v>
      </c>
      <c r="K631" s="320">
        <v>4500</v>
      </c>
      <c r="L631" s="1158">
        <f>SUM(H631:K635)</f>
        <v>407074.99999999994</v>
      </c>
      <c r="M631" s="1154">
        <f>L631/E632*100</f>
        <v>94.99999999999999</v>
      </c>
      <c r="N631" s="1160">
        <f>240952+27963*2+28680+28681</f>
        <v>354239</v>
      </c>
      <c r="O631" s="1160">
        <f>N631/E631*100</f>
        <v>91.8550499157267</v>
      </c>
      <c r="P631" s="1160">
        <f>20622+20621+19210+19211+56110+56109+24534+24535+27963*2</f>
        <v>296878</v>
      </c>
      <c r="Q631" s="1083">
        <f>P631/E631*100</f>
        <v>76.98120057046545</v>
      </c>
      <c r="R631" s="839">
        <f>E631+F631</f>
        <v>428500</v>
      </c>
      <c r="S631" s="1154">
        <f>P631/E631*100</f>
        <v>76.98120057046545</v>
      </c>
      <c r="T631" s="923">
        <f>N631/SUM(H631:I635)*100</f>
        <v>96.68953150536178</v>
      </c>
    </row>
    <row r="632" spans="1:20" ht="19.5" customHeight="1" thickBot="1">
      <c r="A632" s="1134"/>
      <c r="B632" s="1134"/>
      <c r="C632" s="1135">
        <f>C631+D631</f>
        <v>428500</v>
      </c>
      <c r="D632" s="916"/>
      <c r="E632" s="1135">
        <v>428500</v>
      </c>
      <c r="F632" s="1136"/>
      <c r="G632" s="1104">
        <v>428500</v>
      </c>
      <c r="H632" s="328">
        <v>38250</v>
      </c>
      <c r="I632" s="329">
        <v>38250</v>
      </c>
      <c r="J632" s="329">
        <v>4250</v>
      </c>
      <c r="K632" s="330">
        <v>4250</v>
      </c>
      <c r="L632" s="1159"/>
      <c r="M632" s="1155"/>
      <c r="N632" s="1161"/>
      <c r="O632" s="1161"/>
      <c r="P632" s="1161"/>
      <c r="Q632" s="1085"/>
      <c r="R632" s="839"/>
      <c r="S632" s="1155"/>
      <c r="T632" s="924"/>
    </row>
    <row r="633" spans="1:20" ht="19.5" customHeight="1" thickBot="1">
      <c r="A633" s="1134"/>
      <c r="B633" s="1134"/>
      <c r="C633" s="1144"/>
      <c r="D633" s="1145"/>
      <c r="E633" s="1137"/>
      <c r="F633" s="1138"/>
      <c r="G633" s="1105"/>
      <c r="H633" s="710">
        <v>38211.81</v>
      </c>
      <c r="I633" s="711">
        <v>38211.81</v>
      </c>
      <c r="J633" s="711">
        <v>4245.77</v>
      </c>
      <c r="K633" s="712">
        <v>4245.76</v>
      </c>
      <c r="L633" s="1159"/>
      <c r="M633" s="1155"/>
      <c r="N633" s="1161"/>
      <c r="O633" s="1161"/>
      <c r="P633" s="1161"/>
      <c r="Q633" s="838"/>
      <c r="R633" s="839">
        <f>E632</f>
        <v>428500</v>
      </c>
      <c r="S633" s="1155"/>
      <c r="T633" s="924"/>
    </row>
    <row r="634" spans="1:20" ht="19.5" customHeight="1" thickBot="1">
      <c r="A634" s="1067"/>
      <c r="B634" s="1067"/>
      <c r="C634" s="1144"/>
      <c r="D634" s="1145"/>
      <c r="E634" s="1144"/>
      <c r="F634" s="1145"/>
      <c r="G634" s="382"/>
      <c r="H634" s="328">
        <v>56109.51</v>
      </c>
      <c r="I634" s="329">
        <v>56109.51</v>
      </c>
      <c r="J634" s="329">
        <v>6234.39</v>
      </c>
      <c r="K634" s="330">
        <v>6234.39</v>
      </c>
      <c r="L634" s="1156"/>
      <c r="M634" s="1156"/>
      <c r="N634" s="1156"/>
      <c r="O634" s="1156"/>
      <c r="P634" s="1156"/>
      <c r="Q634" s="842"/>
      <c r="R634" s="841"/>
      <c r="S634" s="1156"/>
      <c r="T634" s="926"/>
    </row>
    <row r="635" spans="1:20" ht="19.5" customHeight="1" thickBot="1">
      <c r="A635" s="1128"/>
      <c r="B635" s="1128"/>
      <c r="C635" s="1146"/>
      <c r="D635" s="1147"/>
      <c r="E635" s="1146"/>
      <c r="F635" s="1147"/>
      <c r="G635" s="382"/>
      <c r="H635" s="875">
        <v>10112.42</v>
      </c>
      <c r="I635" s="876">
        <v>10112.42</v>
      </c>
      <c r="J635" s="876">
        <v>1123.61</v>
      </c>
      <c r="K635" s="877">
        <v>1123.6</v>
      </c>
      <c r="L635" s="1132"/>
      <c r="M635" s="1132"/>
      <c r="N635" s="1132"/>
      <c r="O635" s="1132"/>
      <c r="P635" s="1132"/>
      <c r="Q635" s="838"/>
      <c r="R635" s="839"/>
      <c r="S635" s="1132"/>
      <c r="T635" s="925"/>
    </row>
    <row r="636" spans="1:20" ht="25.5" customHeight="1">
      <c r="A636" s="1133" t="s">
        <v>266</v>
      </c>
      <c r="B636" s="1133" t="s">
        <v>195</v>
      </c>
      <c r="C636" s="272">
        <f>137281+137280</f>
        <v>274561</v>
      </c>
      <c r="D636" s="271">
        <f>24226*2</f>
        <v>48452</v>
      </c>
      <c r="E636" s="272">
        <v>274561</v>
      </c>
      <c r="F636" s="271">
        <v>48452</v>
      </c>
      <c r="G636" s="371">
        <v>323013</v>
      </c>
      <c r="H636" s="878">
        <v>53460.33</v>
      </c>
      <c r="I636" s="879">
        <v>53460.33</v>
      </c>
      <c r="J636" s="879">
        <v>9434.18</v>
      </c>
      <c r="K636" s="880">
        <v>9434.18</v>
      </c>
      <c r="L636" s="1158">
        <f>SUM(H636:K638)</f>
        <v>306862.35</v>
      </c>
      <c r="M636" s="1154">
        <f>L636/E637*100</f>
        <v>95</v>
      </c>
      <c r="N636" s="1160">
        <f>15977+84138+24881+24882</f>
        <v>149878</v>
      </c>
      <c r="O636" s="1160">
        <f>N636/E636*100</f>
        <v>54.58823358015159</v>
      </c>
      <c r="P636" s="1160">
        <f>15977+42069*2</f>
        <v>100115</v>
      </c>
      <c r="Q636" s="1028">
        <f>P636/E636*100</f>
        <v>36.46366381241327</v>
      </c>
      <c r="R636" s="779">
        <f>E636+F636</f>
        <v>323013</v>
      </c>
      <c r="S636" s="1154">
        <f>P636/E636*100</f>
        <v>36.46366381241327</v>
      </c>
      <c r="T636" s="923">
        <f>N636/SUM(H636:I638)*100</f>
        <v>57.46129850542272</v>
      </c>
    </row>
    <row r="637" spans="1:20" ht="25.5" customHeight="1" thickBot="1">
      <c r="A637" s="1134"/>
      <c r="B637" s="1134"/>
      <c r="C637" s="1135">
        <f>C636+D636</f>
        <v>323013</v>
      </c>
      <c r="D637" s="1136"/>
      <c r="E637" s="1135">
        <v>323013</v>
      </c>
      <c r="F637" s="916"/>
      <c r="G637" s="383">
        <v>323013</v>
      </c>
      <c r="H637" s="328">
        <v>51508.48</v>
      </c>
      <c r="I637" s="329">
        <v>51508.48</v>
      </c>
      <c r="J637" s="329">
        <v>9089.73</v>
      </c>
      <c r="K637" s="330">
        <v>9089.73</v>
      </c>
      <c r="L637" s="1156"/>
      <c r="M637" s="1155"/>
      <c r="N637" s="1156"/>
      <c r="O637" s="1161"/>
      <c r="P637" s="1156"/>
      <c r="Q637" s="1085"/>
      <c r="R637" s="779">
        <f>E637</f>
        <v>323013</v>
      </c>
      <c r="S637" s="1155"/>
      <c r="T637" s="924"/>
    </row>
    <row r="638" spans="1:20" ht="25.5" customHeight="1" thickBot="1">
      <c r="A638" s="1128"/>
      <c r="B638" s="1128"/>
      <c r="C638" s="1146"/>
      <c r="D638" s="1147"/>
      <c r="E638" s="1146"/>
      <c r="F638" s="1147"/>
      <c r="G638" s="386"/>
      <c r="H638" s="710">
        <v>25448.14</v>
      </c>
      <c r="I638" s="711">
        <v>25447.19</v>
      </c>
      <c r="J638" s="711">
        <v>4490.79</v>
      </c>
      <c r="K638" s="712">
        <v>4490.79</v>
      </c>
      <c r="L638" s="1132"/>
      <c r="M638" s="1132"/>
      <c r="N638" s="1132"/>
      <c r="O638" s="1132"/>
      <c r="P638" s="1132"/>
      <c r="Q638" s="838"/>
      <c r="R638" s="779"/>
      <c r="S638" s="1132"/>
      <c r="T638" s="925"/>
    </row>
    <row r="639" spans="1:20" ht="30.75" customHeight="1">
      <c r="A639" s="1133" t="s">
        <v>163</v>
      </c>
      <c r="B639" s="1097" t="s">
        <v>164</v>
      </c>
      <c r="C639" s="261">
        <f>(125016+125016)</f>
        <v>250032</v>
      </c>
      <c r="D639" s="193">
        <f>(22061.5+22061.5)</f>
        <v>44123</v>
      </c>
      <c r="E639" s="261">
        <v>250032</v>
      </c>
      <c r="F639" s="193">
        <v>44123</v>
      </c>
      <c r="G639" s="370">
        <v>294155</v>
      </c>
      <c r="H639" s="318">
        <v>27946.72</v>
      </c>
      <c r="I639" s="319">
        <v>27946.72</v>
      </c>
      <c r="J639" s="319">
        <v>4931.78</v>
      </c>
      <c r="K639" s="320">
        <v>4931.78</v>
      </c>
      <c r="L639" s="1158">
        <f>SUM(H639:K643)</f>
        <v>279447.2500000001</v>
      </c>
      <c r="M639" s="1154">
        <f>L639/E640*100</f>
        <v>95.00000000000004</v>
      </c>
      <c r="N639" s="1160">
        <f>137466+13855</f>
        <v>151321</v>
      </c>
      <c r="O639" s="1160">
        <f>N639/E639*100</f>
        <v>60.52065335637038</v>
      </c>
      <c r="P639" s="1160">
        <f>21847+21847+5118*2+41768*2+6928+6927</f>
        <v>151321</v>
      </c>
      <c r="Q639" s="1083">
        <f>P639/E639*100</f>
        <v>60.52065335637038</v>
      </c>
      <c r="R639" s="779">
        <f>E639+F639</f>
        <v>294155</v>
      </c>
      <c r="S639" s="1114">
        <f>P639/E639*100</f>
        <v>60.52065335637038</v>
      </c>
      <c r="T639" s="920">
        <f>N639/SUM(H639:I643)*100</f>
        <v>63.70602063384461</v>
      </c>
    </row>
    <row r="640" spans="1:20" ht="22.5" customHeight="1" thickBot="1">
      <c r="A640" s="1134"/>
      <c r="B640" s="1059"/>
      <c r="C640" s="1148">
        <f>C639+D639</f>
        <v>294155</v>
      </c>
      <c r="D640" s="1149"/>
      <c r="E640" s="1148">
        <v>294155</v>
      </c>
      <c r="F640" s="1149"/>
      <c r="G640" s="382">
        <v>294155</v>
      </c>
      <c r="H640" s="328">
        <v>38635.05</v>
      </c>
      <c r="I640" s="329">
        <v>38635.05</v>
      </c>
      <c r="J640" s="329">
        <v>6817.95</v>
      </c>
      <c r="K640" s="330">
        <v>6817.95</v>
      </c>
      <c r="L640" s="1159"/>
      <c r="M640" s="1155"/>
      <c r="N640" s="1161"/>
      <c r="O640" s="1161"/>
      <c r="P640" s="1161"/>
      <c r="Q640" s="1085"/>
      <c r="R640" s="779">
        <f>E640</f>
        <v>294155</v>
      </c>
      <c r="S640" s="1115"/>
      <c r="T640" s="921"/>
    </row>
    <row r="641" spans="1:20" ht="22.5" customHeight="1" thickBot="1">
      <c r="A641" s="1134"/>
      <c r="B641" s="1059"/>
      <c r="C641" s="1150"/>
      <c r="D641" s="1151"/>
      <c r="E641" s="1150"/>
      <c r="F641" s="1151"/>
      <c r="G641" s="382"/>
      <c r="H641" s="328">
        <v>10389.17</v>
      </c>
      <c r="I641" s="329">
        <v>10389.17</v>
      </c>
      <c r="J641" s="329">
        <v>1833.39</v>
      </c>
      <c r="K641" s="330">
        <v>1833.38</v>
      </c>
      <c r="L641" s="1159"/>
      <c r="M641" s="1155"/>
      <c r="N641" s="1161"/>
      <c r="O641" s="1161"/>
      <c r="P641" s="1161"/>
      <c r="Q641" s="842"/>
      <c r="R641" s="779"/>
      <c r="S641" s="1115"/>
      <c r="T641" s="921"/>
    </row>
    <row r="642" spans="1:20" ht="22.5" customHeight="1" thickBot="1">
      <c r="A642" s="1134"/>
      <c r="B642" s="1059"/>
      <c r="C642" s="1150"/>
      <c r="D642" s="1151"/>
      <c r="E642" s="1150"/>
      <c r="F642" s="1151"/>
      <c r="G642" s="382"/>
      <c r="H642" s="328">
        <v>38335</v>
      </c>
      <c r="I642" s="329">
        <v>38335</v>
      </c>
      <c r="J642" s="329">
        <v>6765</v>
      </c>
      <c r="K642" s="330">
        <v>6765</v>
      </c>
      <c r="L642" s="1159"/>
      <c r="M642" s="1155"/>
      <c r="N642" s="1161"/>
      <c r="O642" s="1161"/>
      <c r="P642" s="1161"/>
      <c r="Q642" s="842"/>
      <c r="R642" s="779"/>
      <c r="S642" s="1115"/>
      <c r="T642" s="921"/>
    </row>
    <row r="643" spans="1:20" ht="22.5" customHeight="1" thickBot="1">
      <c r="A643" s="1090"/>
      <c r="B643" s="1060"/>
      <c r="C643" s="1152"/>
      <c r="D643" s="1153"/>
      <c r="E643" s="1152"/>
      <c r="F643" s="1153"/>
      <c r="G643" s="382"/>
      <c r="H643" s="710">
        <v>3459.13</v>
      </c>
      <c r="I643" s="711">
        <v>3459.13</v>
      </c>
      <c r="J643" s="711">
        <v>610.44</v>
      </c>
      <c r="K643" s="712">
        <v>610.44</v>
      </c>
      <c r="L643" s="1113"/>
      <c r="M643" s="1108"/>
      <c r="N643" s="1126"/>
      <c r="O643" s="1126"/>
      <c r="P643" s="1126"/>
      <c r="Q643" s="842"/>
      <c r="R643" s="779"/>
      <c r="S643" s="1116"/>
      <c r="T643" s="922"/>
    </row>
    <row r="644" spans="1:20" ht="22.5" customHeight="1" thickBot="1">
      <c r="A644" s="1133" t="s">
        <v>247</v>
      </c>
      <c r="B644" s="1097" t="s">
        <v>246</v>
      </c>
      <c r="C644" s="261">
        <f>219720*2</f>
        <v>439440</v>
      </c>
      <c r="D644" s="193">
        <f>38774*2</f>
        <v>77548</v>
      </c>
      <c r="E644" s="261">
        <v>439440</v>
      </c>
      <c r="F644" s="291">
        <v>77548</v>
      </c>
      <c r="G644" s="370">
        <v>516988</v>
      </c>
      <c r="H644" s="318">
        <v>176431.88</v>
      </c>
      <c r="I644" s="319">
        <v>176431.88</v>
      </c>
      <c r="J644" s="319">
        <v>31135.04</v>
      </c>
      <c r="K644" s="320">
        <v>31135.04</v>
      </c>
      <c r="L644" s="1158">
        <f>SUM(H644:K646)</f>
        <v>491138.59999999986</v>
      </c>
      <c r="M644" s="1039">
        <f>L644/E645*100</f>
        <v>94.99999999999997</v>
      </c>
      <c r="N644" s="1035">
        <f>181508+181509</f>
        <v>363017</v>
      </c>
      <c r="O644" s="1035">
        <v>0</v>
      </c>
      <c r="P644" s="1035">
        <v>0</v>
      </c>
      <c r="Q644" s="524"/>
      <c r="R644" s="363">
        <f>E644+F644</f>
        <v>516988</v>
      </c>
      <c r="S644" s="920">
        <v>0</v>
      </c>
      <c r="T644" s="920">
        <f>N644/SUM(H644:I646)*100</f>
        <v>86.95688625565853</v>
      </c>
    </row>
    <row r="645" spans="1:20" ht="22.5" customHeight="1" thickBot="1">
      <c r="A645" s="1134"/>
      <c r="B645" s="1059"/>
      <c r="C645" s="1148">
        <f>C644+D644</f>
        <v>516988</v>
      </c>
      <c r="D645" s="1149"/>
      <c r="E645" s="1148">
        <v>516988</v>
      </c>
      <c r="F645" s="1149"/>
      <c r="G645" s="381">
        <v>516988</v>
      </c>
      <c r="H645" s="328">
        <v>23537.04</v>
      </c>
      <c r="I645" s="329">
        <v>23537.04</v>
      </c>
      <c r="J645" s="329">
        <v>4153.6</v>
      </c>
      <c r="K645" s="330">
        <v>4153.6</v>
      </c>
      <c r="L645" s="1159"/>
      <c r="M645" s="1040"/>
      <c r="N645" s="1036"/>
      <c r="O645" s="1036"/>
      <c r="P645" s="1036"/>
      <c r="Q645" s="524"/>
      <c r="R645" s="363">
        <f>E645</f>
        <v>516988</v>
      </c>
      <c r="S645" s="921"/>
      <c r="T645" s="921"/>
    </row>
    <row r="646" spans="1:20" ht="22.5" customHeight="1" thickBot="1">
      <c r="A646" s="1090"/>
      <c r="B646" s="1060"/>
      <c r="C646" s="1152"/>
      <c r="D646" s="1153"/>
      <c r="E646" s="1152"/>
      <c r="F646" s="1153"/>
      <c r="G646" s="386"/>
      <c r="H646" s="710">
        <v>8764.98</v>
      </c>
      <c r="I646" s="711">
        <v>8764.98</v>
      </c>
      <c r="J646" s="711">
        <v>1546.76</v>
      </c>
      <c r="K646" s="712">
        <v>1546.76</v>
      </c>
      <c r="L646" s="1113"/>
      <c r="M646" s="1041"/>
      <c r="N646" s="1027"/>
      <c r="O646" s="1027"/>
      <c r="P646" s="1027"/>
      <c r="Q646" s="524"/>
      <c r="R646" s="363"/>
      <c r="S646" s="922"/>
      <c r="T646" s="922"/>
    </row>
    <row r="647" spans="1:20" ht="20.25" customHeight="1" thickBot="1">
      <c r="A647" s="1133" t="s">
        <v>144</v>
      </c>
      <c r="B647" s="1097" t="s">
        <v>220</v>
      </c>
      <c r="C647" s="261">
        <f>354501+354500</f>
        <v>709001</v>
      </c>
      <c r="D647" s="193">
        <f>62559*2</f>
        <v>125118</v>
      </c>
      <c r="E647" s="261">
        <v>709001</v>
      </c>
      <c r="F647" s="291">
        <v>125118</v>
      </c>
      <c r="G647" s="370">
        <v>834119</v>
      </c>
      <c r="H647" s="318">
        <v>336775.54</v>
      </c>
      <c r="I647" s="319">
        <v>336775.54</v>
      </c>
      <c r="J647" s="319">
        <v>59430.99</v>
      </c>
      <c r="K647" s="320">
        <v>59430.98</v>
      </c>
      <c r="L647" s="917">
        <f>SUM(H647:K648)</f>
        <v>792413.0499999999</v>
      </c>
      <c r="M647" s="894">
        <v>95</v>
      </c>
      <c r="N647" s="1160">
        <f>663936+22395</f>
        <v>686331</v>
      </c>
      <c r="O647" s="1160">
        <f>N647/E647*100</f>
        <v>96.80254329683598</v>
      </c>
      <c r="P647" s="1160">
        <v>663936</v>
      </c>
      <c r="Q647" s="842"/>
      <c r="R647" s="779">
        <f>E647+F647</f>
        <v>834119</v>
      </c>
      <c r="S647" s="1114">
        <f>P647/E647*100</f>
        <v>93.64387356294279</v>
      </c>
      <c r="T647" s="920">
        <f>N647/SUM(H647:I648)*100</f>
        <v>101.89739432976634</v>
      </c>
    </row>
    <row r="648" spans="1:20" ht="21.75" customHeight="1" thickBot="1">
      <c r="A648" s="1090"/>
      <c r="B648" s="1060"/>
      <c r="C648" s="1048">
        <f>C647+D647</f>
        <v>834119</v>
      </c>
      <c r="D648" s="1034"/>
      <c r="E648" s="1152">
        <v>834119</v>
      </c>
      <c r="F648" s="995"/>
      <c r="G648" s="381">
        <v>834119</v>
      </c>
      <c r="H648" s="875"/>
      <c r="I648" s="876"/>
      <c r="J648" s="876"/>
      <c r="K648" s="877"/>
      <c r="L648" s="918"/>
      <c r="M648" s="895"/>
      <c r="N648" s="1156"/>
      <c r="O648" s="1126"/>
      <c r="P648" s="1156"/>
      <c r="Q648" s="842"/>
      <c r="R648" s="779">
        <f>E648</f>
        <v>834119</v>
      </c>
      <c r="S648" s="1116"/>
      <c r="T648" s="922"/>
    </row>
    <row r="649" spans="1:20" ht="18.75" customHeight="1" thickBot="1">
      <c r="A649" s="1133" t="s">
        <v>237</v>
      </c>
      <c r="B649" s="1133" t="s">
        <v>236</v>
      </c>
      <c r="C649" s="261">
        <f>1285527+220303</f>
        <v>1505830</v>
      </c>
      <c r="D649" s="193">
        <f>226858+38877</f>
        <v>265735</v>
      </c>
      <c r="E649" s="261">
        <v>1505830</v>
      </c>
      <c r="F649" s="291">
        <v>265735</v>
      </c>
      <c r="G649" s="370">
        <f>E649+F649</f>
        <v>1771565</v>
      </c>
      <c r="H649" s="318">
        <v>71003.86</v>
      </c>
      <c r="I649" s="319">
        <v>12173.21</v>
      </c>
      <c r="J649" s="319">
        <v>12535.28</v>
      </c>
      <c r="K649" s="320">
        <v>2143.03</v>
      </c>
      <c r="L649" s="1158">
        <f>SUM(H649:K659)</f>
        <v>1541192.6299999997</v>
      </c>
      <c r="M649" s="1154">
        <f>L649/E650*100</f>
        <v>86.99610965445804</v>
      </c>
      <c r="N649" s="1160">
        <f>20480+404248+132939+220829+220828</f>
        <v>999324</v>
      </c>
      <c r="O649" s="1160">
        <f>N649/E649*100</f>
        <v>66.36366654934488</v>
      </c>
      <c r="P649" s="1160">
        <f>557667+64614+377043</f>
        <v>999324</v>
      </c>
      <c r="Q649" s="842"/>
      <c r="R649" s="779"/>
      <c r="S649" s="1154">
        <f>P649/E649*100</f>
        <v>66.36366654934488</v>
      </c>
      <c r="T649" s="923">
        <f>N649/SUM(H649:I659)*100</f>
        <v>76.2834782000139</v>
      </c>
    </row>
    <row r="650" spans="1:20" ht="19.5" customHeight="1" thickBot="1">
      <c r="A650" s="1134"/>
      <c r="B650" s="1134"/>
      <c r="C650" s="1135">
        <f>C649+D649</f>
        <v>1771565</v>
      </c>
      <c r="D650" s="1136"/>
      <c r="E650" s="1135">
        <v>1771565</v>
      </c>
      <c r="F650" s="1136"/>
      <c r="G650" s="1057">
        <v>1771565</v>
      </c>
      <c r="H650" s="328">
        <v>17482.38</v>
      </c>
      <c r="I650" s="329">
        <v>2997.26</v>
      </c>
      <c r="J650" s="329">
        <v>3086.4</v>
      </c>
      <c r="K650" s="330">
        <v>527.65</v>
      </c>
      <c r="L650" s="1159"/>
      <c r="M650" s="1155"/>
      <c r="N650" s="1161"/>
      <c r="O650" s="1161"/>
      <c r="P650" s="1161"/>
      <c r="Q650" s="842"/>
      <c r="R650" s="779">
        <f>E649+F649</f>
        <v>1771565</v>
      </c>
      <c r="S650" s="1155"/>
      <c r="T650" s="924"/>
    </row>
    <row r="651" spans="1:20" ht="19.5" customHeight="1" thickBot="1">
      <c r="A651" s="1134"/>
      <c r="B651" s="1134"/>
      <c r="C651" s="1137"/>
      <c r="D651" s="1138"/>
      <c r="E651" s="1137"/>
      <c r="F651" s="1138"/>
      <c r="G651" s="1037"/>
      <c r="H651" s="328">
        <v>4777.52</v>
      </c>
      <c r="I651" s="329">
        <v>819.08</v>
      </c>
      <c r="J651" s="329">
        <v>843.45</v>
      </c>
      <c r="K651" s="330">
        <v>144.19</v>
      </c>
      <c r="L651" s="1159"/>
      <c r="M651" s="1155"/>
      <c r="N651" s="1161"/>
      <c r="O651" s="1161"/>
      <c r="P651" s="1161"/>
      <c r="Q651" s="842"/>
      <c r="R651" s="779">
        <f>E650</f>
        <v>1771565</v>
      </c>
      <c r="S651" s="1155"/>
      <c r="T651" s="924"/>
    </row>
    <row r="652" spans="1:20" ht="19.5" customHeight="1" thickBot="1">
      <c r="A652" s="1134"/>
      <c r="B652" s="1134"/>
      <c r="C652" s="1137"/>
      <c r="D652" s="1138"/>
      <c r="E652" s="1137"/>
      <c r="F652" s="1138"/>
      <c r="G652" s="1038"/>
      <c r="H652" s="328">
        <v>232530.42</v>
      </c>
      <c r="I652" s="329">
        <v>39866.02</v>
      </c>
      <c r="J652" s="329">
        <v>41051.75</v>
      </c>
      <c r="K652" s="330">
        <v>7018.21</v>
      </c>
      <c r="L652" s="1159"/>
      <c r="M652" s="1155"/>
      <c r="N652" s="1161"/>
      <c r="O652" s="1161"/>
      <c r="P652" s="1161"/>
      <c r="Q652" s="842"/>
      <c r="R652" s="779"/>
      <c r="S652" s="1155"/>
      <c r="T652" s="924"/>
    </row>
    <row r="653" spans="1:20" ht="19.5" customHeight="1" thickBot="1">
      <c r="A653" s="1134"/>
      <c r="B653" s="1134"/>
      <c r="C653" s="1137"/>
      <c r="D653" s="1138"/>
      <c r="E653" s="1137"/>
      <c r="F653" s="1138"/>
      <c r="G653" s="388"/>
      <c r="H653" s="328">
        <v>82837.63</v>
      </c>
      <c r="I653" s="329">
        <v>14202.04</v>
      </c>
      <c r="J653" s="329">
        <v>14624.46</v>
      </c>
      <c r="K653" s="330">
        <v>2500.2</v>
      </c>
      <c r="L653" s="1159"/>
      <c r="M653" s="1155"/>
      <c r="N653" s="1161"/>
      <c r="O653" s="1161"/>
      <c r="P653" s="1161"/>
      <c r="Q653" s="842"/>
      <c r="R653" s="779"/>
      <c r="S653" s="1155"/>
      <c r="T653" s="924"/>
    </row>
    <row r="654" spans="1:20" ht="19.5" customHeight="1" thickBot="1">
      <c r="A654" s="1134"/>
      <c r="B654" s="1134"/>
      <c r="C654" s="1137"/>
      <c r="D654" s="1138"/>
      <c r="E654" s="1137"/>
      <c r="F654" s="1138"/>
      <c r="G654" s="388"/>
      <c r="H654" s="328">
        <v>36773.89</v>
      </c>
      <c r="I654" s="329">
        <v>6304.67</v>
      </c>
      <c r="J654" s="329">
        <v>6492.19</v>
      </c>
      <c r="K654" s="330">
        <v>1109.91</v>
      </c>
      <c r="L654" s="1159"/>
      <c r="M654" s="1155"/>
      <c r="N654" s="1161"/>
      <c r="O654" s="1161"/>
      <c r="P654" s="1161"/>
      <c r="Q654" s="842"/>
      <c r="R654" s="779"/>
      <c r="S654" s="1155"/>
      <c r="T654" s="924"/>
    </row>
    <row r="655" spans="1:20" ht="19.5" customHeight="1" thickBot="1">
      <c r="A655" s="1134"/>
      <c r="B655" s="1134"/>
      <c r="C655" s="1137"/>
      <c r="D655" s="1138"/>
      <c r="E655" s="1137"/>
      <c r="F655" s="1138"/>
      <c r="G655" s="388"/>
      <c r="H655" s="328">
        <v>328826.97</v>
      </c>
      <c r="I655" s="329">
        <v>56375.52</v>
      </c>
      <c r="J655" s="329">
        <v>58052.29</v>
      </c>
      <c r="K655" s="330">
        <v>9924.63</v>
      </c>
      <c r="L655" s="1159"/>
      <c r="M655" s="1155"/>
      <c r="N655" s="1161"/>
      <c r="O655" s="1161"/>
      <c r="P655" s="1161"/>
      <c r="Q655" s="842"/>
      <c r="R655" s="779"/>
      <c r="S655" s="1155"/>
      <c r="T655" s="924"/>
    </row>
    <row r="656" spans="1:20" ht="19.5" customHeight="1" thickBot="1">
      <c r="A656" s="1134"/>
      <c r="B656" s="1134"/>
      <c r="C656" s="1137"/>
      <c r="D656" s="1138"/>
      <c r="E656" s="1137"/>
      <c r="F656" s="1138"/>
      <c r="G656" s="388"/>
      <c r="H656" s="802">
        <v>30645.43</v>
      </c>
      <c r="I656" s="674">
        <v>5253.98</v>
      </c>
      <c r="J656" s="674">
        <v>5410.26</v>
      </c>
      <c r="K656" s="330">
        <v>924.94</v>
      </c>
      <c r="L656" s="1159"/>
      <c r="M656" s="1155"/>
      <c r="N656" s="1161"/>
      <c r="O656" s="1161"/>
      <c r="P656" s="1161"/>
      <c r="Q656" s="842"/>
      <c r="R656" s="779"/>
      <c r="S656" s="1155"/>
      <c r="T656" s="924"/>
    </row>
    <row r="657" spans="1:20" ht="19.5" customHeight="1" thickBot="1">
      <c r="A657" s="1134"/>
      <c r="B657" s="1134"/>
      <c r="C657" s="1137"/>
      <c r="D657" s="1138"/>
      <c r="E657" s="1137"/>
      <c r="F657" s="1138"/>
      <c r="G657" s="388"/>
      <c r="H657" s="802">
        <v>222445.94</v>
      </c>
      <c r="I657" s="674">
        <v>38137.09</v>
      </c>
      <c r="J657" s="674">
        <v>39271.41</v>
      </c>
      <c r="K657" s="330">
        <v>6713.85</v>
      </c>
      <c r="L657" s="1159"/>
      <c r="M657" s="1155"/>
      <c r="N657" s="1161"/>
      <c r="O657" s="1161"/>
      <c r="P657" s="1161"/>
      <c r="Q657" s="842"/>
      <c r="R657" s="779"/>
      <c r="S657" s="1155"/>
      <c r="T657" s="924"/>
    </row>
    <row r="658" spans="1:20" ht="19.5" customHeight="1" thickBot="1">
      <c r="A658" s="1134"/>
      <c r="B658" s="1134"/>
      <c r="C658" s="1137"/>
      <c r="D658" s="1138"/>
      <c r="E658" s="1137"/>
      <c r="F658" s="1138"/>
      <c r="G658" s="388"/>
      <c r="H658" s="802">
        <v>48191.52</v>
      </c>
      <c r="I658" s="674">
        <v>8262.16</v>
      </c>
      <c r="J658" s="674">
        <v>8507.91</v>
      </c>
      <c r="K658" s="330">
        <v>1454.51</v>
      </c>
      <c r="L658" s="1159"/>
      <c r="M658" s="1155"/>
      <c r="N658" s="1161"/>
      <c r="O658" s="1161"/>
      <c r="P658" s="1161"/>
      <c r="Q658" s="842"/>
      <c r="R658" s="779"/>
      <c r="S658" s="1155"/>
      <c r="T658" s="924"/>
    </row>
    <row r="659" spans="1:20" ht="19.5" customHeight="1" thickBot="1">
      <c r="A659" s="1090"/>
      <c r="B659" s="1090"/>
      <c r="C659" s="1139"/>
      <c r="D659" s="1140"/>
      <c r="E659" s="1139"/>
      <c r="F659" s="1140"/>
      <c r="G659" s="388"/>
      <c r="H659" s="896">
        <v>42773.77</v>
      </c>
      <c r="I659" s="885">
        <v>7333.32</v>
      </c>
      <c r="J659" s="885">
        <v>7551.44</v>
      </c>
      <c r="K659" s="877">
        <v>1290.99</v>
      </c>
      <c r="L659" s="1113"/>
      <c r="M659" s="1108"/>
      <c r="N659" s="1126"/>
      <c r="O659" s="1126"/>
      <c r="P659" s="1126"/>
      <c r="Q659" s="842"/>
      <c r="R659" s="779"/>
      <c r="S659" s="1108"/>
      <c r="T659" s="927"/>
    </row>
    <row r="660" spans="1:20" ht="30" customHeight="1" thickBot="1">
      <c r="A660" s="572" t="s">
        <v>75</v>
      </c>
      <c r="B660" s="573" t="s">
        <v>76</v>
      </c>
      <c r="C660" s="1042">
        <f>C650+C648+C645+C640+C637+C632+C626+C621+C611+C602+C598+C596+C584+C576+C571+C561+C555+C546+C532+C521+C516+C511+C507+C501+C496+C492+C487+C483+C478+C473+C457+C453+C437+C433+C424+C418+C395+C391+C387+C382+C375+C364+C358+C350+C346+C342+C340+C336+C334+C330+C326+C313+C308+C299+C282+C273+C267+C256+C251+C242+C235+C224+C217+C210+C197+C189+C184+C160+C156+C147+C121+C114+C112+C108+C99+C89+C84+C82+C77+C70+C66+C45+C29+C25+C21+C15+C13+C8+C412</f>
        <v>54315836</v>
      </c>
      <c r="D660" s="1043"/>
      <c r="E660" s="1042">
        <f>E650+E648+E645+E640+E637+E632+E626+E621+E611+E602+E598+E596+E584+E576+E571+E561+E555+E546+E532+E521+E516+E511+E507+E501+E496+E492+E487+E483+E478+E473+E457+E453+E437+E433+E424+E418+E395+E391+E387+E382+E375+E364+E358+E350+E346+E342+E340+E336+E334+E330+E326+E313+E308+E299+E282+E273+E267+E256+E251+E242+E235+E224+E217+E210+E197+E189+E184+E160+E156+E147+E121+E114+E112+E108+E99+E89+E84+E82+E77+E70+E66+E45+E29+E25+E21+E15+E13+E8+E412</f>
        <v>56246255.739999995</v>
      </c>
      <c r="F660" s="1043"/>
      <c r="G660" s="574">
        <f>SUM(G7:G651)/2</f>
        <v>56247288.838281885</v>
      </c>
      <c r="H660" s="715">
        <f>SUM(H7:H659)</f>
        <v>20003512.551437303</v>
      </c>
      <c r="I660" s="716">
        <f>SUM(I7:I659)</f>
        <v>23193999.221590664</v>
      </c>
      <c r="J660" s="716">
        <f>SUM(J7:J659)</f>
        <v>3269843.510188543</v>
      </c>
      <c r="K660" s="575">
        <f>SUM(K7:K659)</f>
        <v>3834560.586269667</v>
      </c>
      <c r="L660" s="576">
        <f>H660+I660+J660+K660</f>
        <v>50301915.86948618</v>
      </c>
      <c r="M660" s="574">
        <f>L660/E660*100</f>
        <v>89.43158119183666</v>
      </c>
      <c r="N660" s="576">
        <f>SUM(N7:N659)</f>
        <v>35161304.48760141</v>
      </c>
      <c r="O660" s="576">
        <f>N660/E682*100</f>
        <v>72.72741653771726</v>
      </c>
      <c r="P660" s="576">
        <f>SUM(P7:P659)</f>
        <v>33781713.74052446</v>
      </c>
      <c r="Q660" s="576" t="e">
        <f>P660/SUM(E639+E636+E620+E601+E597+E595+E570+E554+E515+E510+E506+E500+E495+E491+#REF!+E472+E452+E436+E417+E411+E394+E390+E386+E381+E357+E345+E325+E312+E307+E298+E281+E272+E255+E250+E241+E234+E223+E216+E209+E196+E188+E183+E159+E155+E146+E120+E113+E111+E98+E88+E83+E81+E76+E69+E65+E44+E28+E24+E20+E14+E7)*100</f>
        <v>#REF!</v>
      </c>
      <c r="R660" s="577"/>
      <c r="S660" s="576">
        <f>P660/E682*100</f>
        <v>69.87387989064476</v>
      </c>
      <c r="T660" s="576">
        <f>N660/H661*100</f>
        <v>81.39659680480884</v>
      </c>
    </row>
    <row r="661" spans="1:16" ht="13.5" thickBot="1">
      <c r="A661" s="1" t="s">
        <v>91</v>
      </c>
      <c r="E661" s="1044" t="s">
        <v>75</v>
      </c>
      <c r="F661" s="1045"/>
      <c r="H661" s="1046">
        <f>H660+I660</f>
        <v>43197511.77302797</v>
      </c>
      <c r="I661" s="1047"/>
      <c r="J661" s="1029">
        <f>J660+K660</f>
        <v>7104404.09645821</v>
      </c>
      <c r="K661" s="1030"/>
      <c r="L661" s="2"/>
      <c r="M661" s="2"/>
      <c r="P661" s="2"/>
    </row>
    <row r="662" ht="12.75" customHeight="1" hidden="1">
      <c r="A662" s="63"/>
    </row>
    <row r="663" ht="12.75" customHeight="1" hidden="1">
      <c r="A663" s="64" t="s">
        <v>77</v>
      </c>
    </row>
    <row r="664" spans="2:5" ht="12.75" customHeight="1" hidden="1">
      <c r="B664" s="65"/>
      <c r="C664" s="65"/>
      <c r="D664" s="65"/>
      <c r="E664" s="296"/>
    </row>
    <row r="665" spans="1:11" ht="12.75" customHeight="1" hidden="1">
      <c r="A665" s="66" t="s">
        <v>78</v>
      </c>
      <c r="B665" s="64"/>
      <c r="C665" s="64"/>
      <c r="D665" s="64"/>
      <c r="E665" s="297"/>
      <c r="F665" s="301"/>
      <c r="G665" s="375"/>
      <c r="H665" s="67"/>
      <c r="I665" s="67"/>
      <c r="J665" s="67"/>
      <c r="K665" s="67"/>
    </row>
    <row r="666" spans="1:11" ht="12.75" customHeight="1" hidden="1">
      <c r="A666" s="64" t="s">
        <v>79</v>
      </c>
      <c r="B666" s="67"/>
      <c r="C666" s="67"/>
      <c r="D666" s="67"/>
      <c r="E666" s="298"/>
      <c r="F666" s="297"/>
      <c r="G666" s="376"/>
      <c r="H666" s="67"/>
      <c r="I666" s="67"/>
      <c r="J666" s="67"/>
      <c r="K666" s="67"/>
    </row>
    <row r="667" spans="1:11" ht="12.75" customHeight="1" hidden="1">
      <c r="A667" s="64" t="s">
        <v>80</v>
      </c>
      <c r="B667" s="64"/>
      <c r="C667" s="64"/>
      <c r="D667" s="64"/>
      <c r="E667" s="297"/>
      <c r="F667" s="297"/>
      <c r="G667" s="376"/>
      <c r="H667" s="64"/>
      <c r="I667" s="64"/>
      <c r="J667" s="64"/>
      <c r="K667" s="67"/>
    </row>
    <row r="668" spans="1:11" ht="12.75" customHeight="1" hidden="1">
      <c r="A668" s="64"/>
      <c r="B668" s="64"/>
      <c r="C668" s="64"/>
      <c r="D668" s="64"/>
      <c r="E668" s="297"/>
      <c r="F668" s="297"/>
      <c r="G668" s="376"/>
      <c r="H668" s="64"/>
      <c r="I668" s="64"/>
      <c r="J668" s="64"/>
      <c r="K668" s="67"/>
    </row>
    <row r="669" ht="12.75" customHeight="1" hidden="1"/>
    <row r="670" ht="12.75" customHeight="1" hidden="1">
      <c r="A670" s="68" t="s">
        <v>81</v>
      </c>
    </row>
    <row r="671" ht="12.75" customHeight="1" hidden="1"/>
    <row r="672" spans="1:4" ht="12.75" customHeight="1" hidden="1">
      <c r="A672" s="68" t="s">
        <v>82</v>
      </c>
      <c r="B672" s="68" t="s">
        <v>83</v>
      </c>
      <c r="C672" s="68"/>
      <c r="D672" s="68"/>
    </row>
    <row r="673" spans="1:4" ht="12.75" customHeight="1" hidden="1">
      <c r="A673" s="68" t="s">
        <v>84</v>
      </c>
      <c r="B673" s="68" t="s">
        <v>85</v>
      </c>
      <c r="C673" s="68"/>
      <c r="D673" s="68"/>
    </row>
    <row r="674" spans="8:20" ht="12.75">
      <c r="H674" s="275"/>
      <c r="I674" s="275"/>
      <c r="J674" s="275"/>
      <c r="K674" s="275"/>
      <c r="L674" s="275"/>
      <c r="M674" s="275"/>
      <c r="N674" s="299"/>
      <c r="O674" s="275"/>
      <c r="P674" s="275"/>
      <c r="S674" s="275"/>
      <c r="T674" s="275"/>
    </row>
    <row r="675" spans="2:20" ht="12.75">
      <c r="B675" s="1" t="s">
        <v>92</v>
      </c>
      <c r="C675" s="740" t="s">
        <v>227</v>
      </c>
      <c r="D675" s="740"/>
      <c r="E675" s="740"/>
      <c r="F675" s="740"/>
      <c r="G675" s="740"/>
      <c r="H675" s="275"/>
      <c r="I675" s="2"/>
      <c r="J675" s="2"/>
      <c r="K675" s="275"/>
      <c r="L675" s="2"/>
      <c r="P675" s="299"/>
      <c r="S675" s="2"/>
      <c r="T675" s="2"/>
    </row>
    <row r="676" spans="2:16" ht="12.75">
      <c r="B676" s="1" t="s">
        <v>93</v>
      </c>
      <c r="C676" s="740" t="s">
        <v>94</v>
      </c>
      <c r="D676" s="740"/>
      <c r="E676" s="740"/>
      <c r="F676" s="740"/>
      <c r="G676" s="740"/>
      <c r="H676" s="275"/>
      <c r="I676" s="2"/>
      <c r="J676" s="2"/>
      <c r="K676" s="2"/>
      <c r="L676" s="299"/>
      <c r="M676" s="299"/>
      <c r="N676" s="299"/>
      <c r="O676" s="299"/>
      <c r="P676" s="275"/>
    </row>
    <row r="677" spans="2:16" ht="12.75">
      <c r="B677" s="1" t="s">
        <v>95</v>
      </c>
      <c r="C677" s="740" t="s">
        <v>97</v>
      </c>
      <c r="D677" s="740"/>
      <c r="E677" s="740"/>
      <c r="F677" s="740"/>
      <c r="G677" s="740"/>
      <c r="H677" s="275"/>
      <c r="I677" s="2"/>
      <c r="J677" s="2"/>
      <c r="K677" s="275"/>
      <c r="L677" s="275"/>
      <c r="M677" s="299"/>
      <c r="N677" s="299"/>
      <c r="O677" s="299"/>
      <c r="P677" s="275"/>
    </row>
    <row r="678" spans="2:16" ht="12.75">
      <c r="B678" s="1" t="s">
        <v>96</v>
      </c>
      <c r="C678" s="740" t="s">
        <v>99</v>
      </c>
      <c r="D678" s="740"/>
      <c r="E678" s="740"/>
      <c r="F678" s="740"/>
      <c r="G678" s="740"/>
      <c r="H678" s="275"/>
      <c r="I678" s="2"/>
      <c r="J678" s="2"/>
      <c r="K678" s="2"/>
      <c r="L678" s="2"/>
      <c r="N678" s="275"/>
      <c r="P678" s="2"/>
    </row>
    <row r="679" spans="2:16" ht="12.75">
      <c r="B679" s="1" t="s">
        <v>261</v>
      </c>
      <c r="C679" s="740" t="s">
        <v>228</v>
      </c>
      <c r="D679" s="740"/>
      <c r="E679" s="740"/>
      <c r="F679" s="740"/>
      <c r="G679" s="740"/>
      <c r="H679" s="2"/>
      <c r="I679" s="2"/>
      <c r="J679" s="2"/>
      <c r="K679" s="2"/>
      <c r="L679" s="2"/>
      <c r="M679" s="2"/>
      <c r="P679" s="2"/>
    </row>
    <row r="680" spans="2:19" s="2" customFormat="1" ht="16.5" customHeight="1">
      <c r="B680" s="2" t="s">
        <v>260</v>
      </c>
      <c r="C680" s="741" t="s">
        <v>259</v>
      </c>
      <c r="D680" s="741"/>
      <c r="E680" s="741"/>
      <c r="F680" s="741"/>
      <c r="G680" s="292"/>
      <c r="I680" s="1"/>
      <c r="J680" s="1"/>
      <c r="K680" s="292"/>
      <c r="L680" s="292"/>
      <c r="M680" s="1"/>
      <c r="N680" s="292"/>
      <c r="O680" s="292"/>
      <c r="P680" s="292"/>
      <c r="S680" s="1"/>
    </row>
    <row r="681" spans="5:19" s="2" customFormat="1" ht="15.75" customHeight="1">
      <c r="E681" s="275"/>
      <c r="F681" s="275"/>
      <c r="G681" s="275"/>
      <c r="H681" s="275"/>
      <c r="K681" s="275"/>
      <c r="L681" s="299"/>
      <c r="M681" s="299"/>
      <c r="N681" s="299"/>
      <c r="O681" s="299"/>
      <c r="P681" s="299"/>
      <c r="Q681" s="275"/>
      <c r="S681" s="306"/>
    </row>
    <row r="682" spans="3:16" s="2" customFormat="1" ht="12.75" hidden="1">
      <c r="C682" s="2">
        <f>C649+C647+C644+C639+C636+C631+C625+C620+C610+C601+C597+C595+C583+C575+C570+C560+C554+C545+C531+C520+C515+C510+C506+C500+C495+C491+C486+C482+C477+C472+C456+C452+C436+C432+C423+C417+C411+C394+C390+C386+C381+C374+C363+C357+C349+C345+C341+C339+C335+C333+C329+C325+C312+C307+C298+C281+C272+C266+C255+C250+C241+C234+C223+C216+C209+C196+C188+C183+C159+C155+C146+C120+C113+C111+C107+C98+C88+C83+C81+C76+C69+C65+C44+C28+C24+C20+C14+C12+C7</f>
        <v>46704702</v>
      </c>
      <c r="D682" s="2">
        <f>D649+D647+D644+D639+D636+D631+D625+D620+D610+D601+D597+D595+D583+D575+D570+D560+D554+D545+D531+D520+D515+D510+D506+D500+D495+D491+D486+D482+D477+D472+D456+D452+D436+D432+D423+D417+D411+D394+D390+D386+D381+D374+D363+D357+D349+D345+D341+D339+D335+D333+D329+D325+D312+D307+D298+D281+D272+D266+D255+D250+D241+D234+D223+D216+D209+D196+D188+D183+D159+D155+D146+D120+D113+D111+D107+D98+D88+D83+D81+D76+D69+D65+D44+D28+D24+D20+D14+D12+D7</f>
        <v>7611134</v>
      </c>
      <c r="E682" s="2">
        <f>E649+E647+E644+E639+E636+E631+E625+E620+E610+E601+E597+E595+E583+E575+E570+E560+E554+E545+E531+E520+E515+E510+E506+E500+E495+E491+E486+E482+E477+E472+E456+E452+E436+E432+E423+E417+E411+E394+E390+E386+E381+E374+E363+E357+E349+E345+E341+E339+E335+E333+E329+E325+E312+E307+E298+E281+E272+E266+E255+E250+E241+E234+E223+E216+E209+E196+E188+E183+E159+E155+E146+E120+E113+E111+E107+E98+E88+E83+E81+E76+E69+E65+E44+E28+E24+E20+E14+E12+E7</f>
        <v>48346698.06999999</v>
      </c>
      <c r="F682" s="2">
        <f>F649+F647+F644+F639+F636+F631+F625+F620+F610+F601+F597+F595+F583+F575+F570+F560+F554+F545+F531+F520+F515+F510+F506+F500+F495+F491+F486+F482+F477+F472+F456+F452+F436+F432+F423+F417+F411+F394+F390+F386+F381+F374+F363+F357+F349+F345+F341+F339+F335+F333+F329+F325+F312+F307+F298+F281+F272+F266+F255+F250+F241+F234+F223+F216+F209+F196+F188+F183+F159+F155+F146+F120+F113+F111+F107+F98+F88+F83+F81+F76+F69+F65+F44+F28+F24+F20+F14+F12+F7</f>
        <v>7899557.67</v>
      </c>
      <c r="G682" s="299"/>
      <c r="H682" s="292"/>
      <c r="I682" s="1"/>
      <c r="J682" s="1"/>
      <c r="K682" s="292"/>
      <c r="L682" s="292"/>
      <c r="M682" s="299"/>
      <c r="N682" s="292"/>
      <c r="O682" s="292"/>
      <c r="P682" s="292"/>
    </row>
    <row r="683" spans="3:13" s="2" customFormat="1" ht="12.75" hidden="1">
      <c r="C683" s="1055">
        <f>C682+D682</f>
        <v>54315836</v>
      </c>
      <c r="D683" s="1055"/>
      <c r="E683" s="1055">
        <f>E682+F682</f>
        <v>56246255.739999995</v>
      </c>
      <c r="F683" s="1055"/>
      <c r="G683" s="275"/>
      <c r="I683" s="1"/>
      <c r="J683" s="1"/>
      <c r="M683" s="292"/>
    </row>
    <row r="684" ht="12.75">
      <c r="M684" s="2"/>
    </row>
    <row r="685" spans="5:6" ht="12.75">
      <c r="E685" s="593"/>
      <c r="F685" s="593"/>
    </row>
    <row r="686" spans="5:16" ht="12.75">
      <c r="E686" s="1056"/>
      <c r="F686" s="1056"/>
      <c r="H686" s="2"/>
      <c r="K686" s="2"/>
      <c r="L686" s="2"/>
      <c r="M686" s="2"/>
      <c r="P686" s="2"/>
    </row>
    <row r="687" spans="5:18" ht="12.75">
      <c r="E687" s="594"/>
      <c r="F687" s="594"/>
      <c r="H687" s="2"/>
      <c r="K687" s="2"/>
      <c r="L687" s="2"/>
      <c r="M687" s="2"/>
      <c r="P687" s="2"/>
      <c r="R687" s="1"/>
    </row>
    <row r="688" spans="5:18" ht="12.75" hidden="1">
      <c r="E688" s="594"/>
      <c r="F688" s="594"/>
      <c r="R688" s="1"/>
    </row>
    <row r="689" spans="5:18" ht="12.75" hidden="1">
      <c r="E689" s="594"/>
      <c r="F689" s="594"/>
      <c r="R689" s="1"/>
    </row>
    <row r="690" spans="5:18" ht="12.75" hidden="1">
      <c r="E690" s="594"/>
      <c r="F690" s="274"/>
      <c r="R690" s="1"/>
    </row>
    <row r="691" spans="5:18" ht="12.75" hidden="1">
      <c r="E691" s="594"/>
      <c r="F691" s="274"/>
      <c r="R691" s="1"/>
    </row>
    <row r="692" spans="5:18" ht="12.75" hidden="1">
      <c r="E692" s="594"/>
      <c r="F692" s="274"/>
      <c r="R692" s="1"/>
    </row>
    <row r="693" spans="5:18" ht="12.75" hidden="1">
      <c r="E693" s="594"/>
      <c r="F693" s="382"/>
      <c r="G693" s="356"/>
      <c r="R693" s="1"/>
    </row>
    <row r="694" spans="5:18" ht="12.75" hidden="1">
      <c r="E694" s="594"/>
      <c r="F694" s="594"/>
      <c r="R694" s="1"/>
    </row>
    <row r="695" spans="5:18" ht="12.75" hidden="1">
      <c r="E695" s="594"/>
      <c r="F695" s="594"/>
      <c r="R695" s="1"/>
    </row>
    <row r="696" spans="2:18" ht="12.75" hidden="1">
      <c r="B696" s="1" t="s">
        <v>248</v>
      </c>
      <c r="E696" s="274"/>
      <c r="F696" s="274"/>
      <c r="R696" s="1"/>
    </row>
    <row r="697" spans="2:18" ht="12.75" hidden="1">
      <c r="B697" s="1" t="s">
        <v>249</v>
      </c>
      <c r="E697" s="274"/>
      <c r="F697" s="274"/>
      <c r="R697" s="1"/>
    </row>
    <row r="698" spans="2:18" ht="12.75" hidden="1">
      <c r="B698" s="1" t="s">
        <v>250</v>
      </c>
      <c r="E698" s="274"/>
      <c r="F698" s="594"/>
      <c r="R698" s="1"/>
    </row>
    <row r="699" spans="5:18" ht="12.75" hidden="1">
      <c r="E699" s="382"/>
      <c r="F699" s="594"/>
      <c r="R699" s="1"/>
    </row>
    <row r="700" spans="5:18" ht="12.75">
      <c r="E700" s="274"/>
      <c r="F700" s="274"/>
      <c r="R700" s="1"/>
    </row>
    <row r="701" spans="5:18" ht="12.75">
      <c r="E701" s="1053"/>
      <c r="F701" s="1054"/>
      <c r="R701" s="1"/>
    </row>
    <row r="702" spans="5:18" ht="12.75">
      <c r="E702" s="594"/>
      <c r="F702" s="594"/>
      <c r="R702" s="1"/>
    </row>
    <row r="703" spans="5:18" ht="12.75">
      <c r="E703" s="275"/>
      <c r="F703" s="275"/>
      <c r="G703" s="1"/>
      <c r="N703" s="1"/>
      <c r="O703" s="1"/>
      <c r="R703" s="1"/>
    </row>
  </sheetData>
  <sheetProtection/>
  <mergeCells count="1257">
    <mergeCell ref="G375:G376"/>
    <mergeCell ref="M374:M380"/>
    <mergeCell ref="N281:N297"/>
    <mergeCell ref="O281:O297"/>
    <mergeCell ref="P281:P297"/>
    <mergeCell ref="S281:S297"/>
    <mergeCell ref="A281:A297"/>
    <mergeCell ref="B281:B297"/>
    <mergeCell ref="C282:D297"/>
    <mergeCell ref="E282:F297"/>
    <mergeCell ref="T394:T410"/>
    <mergeCell ref="A394:A410"/>
    <mergeCell ref="B394:B410"/>
    <mergeCell ref="C395:D410"/>
    <mergeCell ref="E395:F410"/>
    <mergeCell ref="L394:L410"/>
    <mergeCell ref="N394:N410"/>
    <mergeCell ref="P394:P410"/>
    <mergeCell ref="E561:F569"/>
    <mergeCell ref="L560:L569"/>
    <mergeCell ref="M560:M569"/>
    <mergeCell ref="M423:M431"/>
    <mergeCell ref="E437:F451"/>
    <mergeCell ref="M515:M519"/>
    <mergeCell ref="M472:M476"/>
    <mergeCell ref="A477:A481"/>
    <mergeCell ref="B477:B481"/>
    <mergeCell ref="C478:D481"/>
    <mergeCell ref="E478:F481"/>
    <mergeCell ref="E342:F344"/>
    <mergeCell ref="M452:M455"/>
    <mergeCell ref="P477:P481"/>
    <mergeCell ref="S477:S481"/>
    <mergeCell ref="L477:L481"/>
    <mergeCell ref="M477:M481"/>
    <mergeCell ref="O390:O393"/>
    <mergeCell ref="O417:O422"/>
    <mergeCell ref="O423:O431"/>
    <mergeCell ref="S394:S410"/>
    <mergeCell ref="A69:A75"/>
    <mergeCell ref="B69:B75"/>
    <mergeCell ref="C70:D75"/>
    <mergeCell ref="E70:F75"/>
    <mergeCell ref="E336:F338"/>
    <mergeCell ref="E340:F340"/>
    <mergeCell ref="E147:F154"/>
    <mergeCell ref="L159:L182"/>
    <mergeCell ref="G184:G187"/>
    <mergeCell ref="E197:F208"/>
    <mergeCell ref="G156:G158"/>
    <mergeCell ref="E156:F158"/>
    <mergeCell ref="L281:L297"/>
    <mergeCell ref="M155:M158"/>
    <mergeCell ref="N250:N254"/>
    <mergeCell ref="N196:N208"/>
    <mergeCell ref="N223:N233"/>
    <mergeCell ref="M241:M249"/>
    <mergeCell ref="M250:M254"/>
    <mergeCell ref="N411:N416"/>
    <mergeCell ref="M159:M182"/>
    <mergeCell ref="N159:N182"/>
    <mergeCell ref="M183:M187"/>
    <mergeCell ref="N298:N306"/>
    <mergeCell ref="N374:N380"/>
    <mergeCell ref="N266:N271"/>
    <mergeCell ref="N209:N215"/>
    <mergeCell ref="N255:N265"/>
    <mergeCell ref="M281:M297"/>
    <mergeCell ref="S357:S362"/>
    <mergeCell ref="P423:P431"/>
    <mergeCell ref="O411:O416"/>
    <mergeCell ref="P390:P393"/>
    <mergeCell ref="O312:O324"/>
    <mergeCell ref="P107:P110"/>
    <mergeCell ref="P209:P215"/>
    <mergeCell ref="Q69:Q72"/>
    <mergeCell ref="S649:S659"/>
    <mergeCell ref="M647:M648"/>
    <mergeCell ref="P432:P435"/>
    <mergeCell ref="P452:P455"/>
    <mergeCell ref="O477:O481"/>
    <mergeCell ref="E645:F646"/>
    <mergeCell ref="M631:M635"/>
    <mergeCell ref="T649:T659"/>
    <mergeCell ref="N610:N619"/>
    <mergeCell ref="O610:O619"/>
    <mergeCell ref="M649:M659"/>
    <mergeCell ref="T625:T630"/>
    <mergeCell ref="T644:T646"/>
    <mergeCell ref="M625:M630"/>
    <mergeCell ref="P647:P648"/>
    <mergeCell ref="P644:P646"/>
    <mergeCell ref="N620:N624"/>
    <mergeCell ref="N639:N643"/>
    <mergeCell ref="P639:P643"/>
    <mergeCell ref="P625:P630"/>
    <mergeCell ref="P620:P624"/>
    <mergeCell ref="O639:O643"/>
    <mergeCell ref="P631:P635"/>
    <mergeCell ref="T647:T648"/>
    <mergeCell ref="T631:T635"/>
    <mergeCell ref="T639:T643"/>
    <mergeCell ref="S639:S643"/>
    <mergeCell ref="S647:S648"/>
    <mergeCell ref="S644:S646"/>
    <mergeCell ref="T636:T638"/>
    <mergeCell ref="B298:B306"/>
    <mergeCell ref="A649:A659"/>
    <mergeCell ref="B649:B659"/>
    <mergeCell ref="C650:D659"/>
    <mergeCell ref="A644:A646"/>
    <mergeCell ref="B647:B648"/>
    <mergeCell ref="B560:B569"/>
    <mergeCell ref="C364:D373"/>
    <mergeCell ref="C645:D646"/>
    <mergeCell ref="C387:D389"/>
    <mergeCell ref="E412:F416"/>
    <mergeCell ref="L390:L393"/>
    <mergeCell ref="A250:A254"/>
    <mergeCell ref="B250:B254"/>
    <mergeCell ref="G326:G327"/>
    <mergeCell ref="L335:L338"/>
    <mergeCell ref="C313:D324"/>
    <mergeCell ref="C299:D306"/>
    <mergeCell ref="A298:A306"/>
    <mergeCell ref="A335:A338"/>
    <mergeCell ref="E596:F596"/>
    <mergeCell ref="E584:F594"/>
    <mergeCell ref="E598:F600"/>
    <mergeCell ref="E571:F574"/>
    <mergeCell ref="G424:G428"/>
    <mergeCell ref="L436:L451"/>
    <mergeCell ref="L432:L435"/>
    <mergeCell ref="E382:F385"/>
    <mergeCell ref="E433:F435"/>
    <mergeCell ref="G395:G402"/>
    <mergeCell ref="E418:F422"/>
    <mergeCell ref="L423:L431"/>
    <mergeCell ref="G437:G441"/>
    <mergeCell ref="E391:F393"/>
    <mergeCell ref="M482:M485"/>
    <mergeCell ref="O491:O494"/>
    <mergeCell ref="O486:O490"/>
    <mergeCell ref="E350:F356"/>
    <mergeCell ref="E375:F380"/>
    <mergeCell ref="L363:L373"/>
    <mergeCell ref="G364:G365"/>
    <mergeCell ref="E387:F389"/>
    <mergeCell ref="L472:L476"/>
    <mergeCell ref="E424:F431"/>
    <mergeCell ref="S570:S574"/>
    <mergeCell ref="O452:O455"/>
    <mergeCell ref="O495:O499"/>
    <mergeCell ref="O510:O514"/>
    <mergeCell ref="P491:P494"/>
    <mergeCell ref="O506:O509"/>
    <mergeCell ref="O482:O485"/>
    <mergeCell ref="S531:S544"/>
    <mergeCell ref="P531:P544"/>
    <mergeCell ref="S610:S619"/>
    <mergeCell ref="Q601:Q602"/>
    <mergeCell ref="S554:S559"/>
    <mergeCell ref="Q570:Q571"/>
    <mergeCell ref="P554:P559"/>
    <mergeCell ref="S545:S553"/>
    <mergeCell ref="S601:S609"/>
    <mergeCell ref="P601:P609"/>
    <mergeCell ref="B644:B646"/>
    <mergeCell ref="T597:T600"/>
    <mergeCell ref="T620:T624"/>
    <mergeCell ref="T610:T619"/>
    <mergeCell ref="S625:S630"/>
    <mergeCell ref="S597:S600"/>
    <mergeCell ref="L620:L624"/>
    <mergeCell ref="E640:F643"/>
    <mergeCell ref="C621:D624"/>
    <mergeCell ref="L625:L630"/>
    <mergeCell ref="P545:P553"/>
    <mergeCell ref="T601:T609"/>
    <mergeCell ref="T583:T594"/>
    <mergeCell ref="S583:S594"/>
    <mergeCell ref="S595:S596"/>
    <mergeCell ref="T575:T582"/>
    <mergeCell ref="S575:S582"/>
    <mergeCell ref="T595:T596"/>
    <mergeCell ref="Q595:Q596"/>
    <mergeCell ref="Q554:Q555"/>
    <mergeCell ref="B625:B630"/>
    <mergeCell ref="L636:L638"/>
    <mergeCell ref="M597:M600"/>
    <mergeCell ref="T560:T569"/>
    <mergeCell ref="S631:S635"/>
    <mergeCell ref="Q636:Q637"/>
    <mergeCell ref="Q631:Q632"/>
    <mergeCell ref="P610:P619"/>
    <mergeCell ref="T570:T574"/>
    <mergeCell ref="S560:S569"/>
    <mergeCell ref="A647:A648"/>
    <mergeCell ref="C648:D648"/>
    <mergeCell ref="E648:F648"/>
    <mergeCell ref="A486:A490"/>
    <mergeCell ref="A601:A609"/>
    <mergeCell ref="A610:A619"/>
    <mergeCell ref="B610:B619"/>
    <mergeCell ref="A560:A569"/>
    <mergeCell ref="A639:A643"/>
    <mergeCell ref="E621:F624"/>
    <mergeCell ref="O631:O635"/>
    <mergeCell ref="O620:O624"/>
    <mergeCell ref="N631:N635"/>
    <mergeCell ref="E637:F638"/>
    <mergeCell ref="C602:D609"/>
    <mergeCell ref="E611:F619"/>
    <mergeCell ref="A620:A624"/>
    <mergeCell ref="B620:B624"/>
    <mergeCell ref="C611:D619"/>
    <mergeCell ref="B639:B643"/>
    <mergeCell ref="A625:A630"/>
    <mergeCell ref="G632:G633"/>
    <mergeCell ref="M620:M624"/>
    <mergeCell ref="A631:A635"/>
    <mergeCell ref="B636:B638"/>
    <mergeCell ref="B631:B635"/>
    <mergeCell ref="A636:A638"/>
    <mergeCell ref="C632:D635"/>
    <mergeCell ref="C640:D643"/>
    <mergeCell ref="O601:O609"/>
    <mergeCell ref="G598:G599"/>
    <mergeCell ref="L601:L609"/>
    <mergeCell ref="P583:P594"/>
    <mergeCell ref="L597:L600"/>
    <mergeCell ref="N595:N596"/>
    <mergeCell ref="O583:O594"/>
    <mergeCell ref="O597:O600"/>
    <mergeCell ref="M570:M574"/>
    <mergeCell ref="L575:L582"/>
    <mergeCell ref="P595:P596"/>
    <mergeCell ref="P575:P582"/>
    <mergeCell ref="O575:O582"/>
    <mergeCell ref="G584:G586"/>
    <mergeCell ref="L595:L596"/>
    <mergeCell ref="L583:L594"/>
    <mergeCell ref="L570:L574"/>
    <mergeCell ref="P560:P569"/>
    <mergeCell ref="N531:N544"/>
    <mergeCell ref="O531:O544"/>
    <mergeCell ref="P570:P574"/>
    <mergeCell ref="N545:N553"/>
    <mergeCell ref="O545:O553"/>
    <mergeCell ref="O554:O559"/>
    <mergeCell ref="N554:N559"/>
    <mergeCell ref="N570:N574"/>
    <mergeCell ref="O570:O574"/>
    <mergeCell ref="Q620:Q621"/>
    <mergeCell ref="Q597:Q598"/>
    <mergeCell ref="O432:O435"/>
    <mergeCell ref="Q515:Q516"/>
    <mergeCell ref="P597:P600"/>
    <mergeCell ref="P510:P514"/>
    <mergeCell ref="P515:P519"/>
    <mergeCell ref="P506:P509"/>
    <mergeCell ref="O472:O476"/>
    <mergeCell ref="O520:O530"/>
    <mergeCell ref="N472:N476"/>
    <mergeCell ref="L386:L389"/>
    <mergeCell ref="L411:L416"/>
    <mergeCell ref="O500:O505"/>
    <mergeCell ref="N477:N481"/>
    <mergeCell ref="L482:L485"/>
    <mergeCell ref="M486:M490"/>
    <mergeCell ref="N486:N490"/>
    <mergeCell ref="N491:N494"/>
    <mergeCell ref="M495:M499"/>
    <mergeCell ref="O625:O630"/>
    <mergeCell ref="N583:N594"/>
    <mergeCell ref="O595:O596"/>
    <mergeCell ref="N500:N505"/>
    <mergeCell ref="N601:N609"/>
    <mergeCell ref="N520:N530"/>
    <mergeCell ref="N506:N509"/>
    <mergeCell ref="N560:N569"/>
    <mergeCell ref="O560:O569"/>
    <mergeCell ref="N575:N582"/>
    <mergeCell ref="G25:G27"/>
    <mergeCell ref="G66:G67"/>
    <mergeCell ref="M146:M154"/>
    <mergeCell ref="M113:M119"/>
    <mergeCell ref="L111:L112"/>
    <mergeCell ref="L28:L43"/>
    <mergeCell ref="M98:M106"/>
    <mergeCell ref="G99:G106"/>
    <mergeCell ref="L107:L110"/>
    <mergeCell ref="L69:L75"/>
    <mergeCell ref="M436:M451"/>
    <mergeCell ref="M417:M422"/>
    <mergeCell ref="L345:L348"/>
    <mergeCell ref="M20:M23"/>
    <mergeCell ref="M28:M43"/>
    <mergeCell ref="L44:L64"/>
    <mergeCell ref="L20:L23"/>
    <mergeCell ref="M390:M393"/>
    <mergeCell ref="M394:M410"/>
    <mergeCell ref="M386:M389"/>
    <mergeCell ref="L81:L82"/>
    <mergeCell ref="L76:L80"/>
    <mergeCell ref="L65:L68"/>
    <mergeCell ref="N432:N435"/>
    <mergeCell ref="L417:L422"/>
    <mergeCell ref="N417:N422"/>
    <mergeCell ref="M432:M435"/>
    <mergeCell ref="N423:N431"/>
    <mergeCell ref="M335:M338"/>
    <mergeCell ref="L374:L380"/>
    <mergeCell ref="M44:M64"/>
    <mergeCell ref="N28:N43"/>
    <mergeCell ref="N20:N23"/>
    <mergeCell ref="L24:L27"/>
    <mergeCell ref="N24:N27"/>
    <mergeCell ref="M24:M27"/>
    <mergeCell ref="S107:S110"/>
    <mergeCell ref="S111:S112"/>
    <mergeCell ref="N111:N112"/>
    <mergeCell ref="O28:O43"/>
    <mergeCell ref="O65:O68"/>
    <mergeCell ref="N65:N68"/>
    <mergeCell ref="N44:N64"/>
    <mergeCell ref="S98:S106"/>
    <mergeCell ref="S83:S87"/>
    <mergeCell ref="N69:N75"/>
    <mergeCell ref="Q81:Q82"/>
    <mergeCell ref="Q76:Q78"/>
    <mergeCell ref="M76:M80"/>
    <mergeCell ref="M65:M68"/>
    <mergeCell ref="M81:M82"/>
    <mergeCell ref="O76:O80"/>
    <mergeCell ref="N81:N82"/>
    <mergeCell ref="N76:N80"/>
    <mergeCell ref="O69:O75"/>
    <mergeCell ref="M69:M75"/>
    <mergeCell ref="M107:M110"/>
    <mergeCell ref="Q111:Q112"/>
    <mergeCell ref="Q98:Q103"/>
    <mergeCell ref="P83:P87"/>
    <mergeCell ref="P111:P112"/>
    <mergeCell ref="O107:O110"/>
    <mergeCell ref="N98:N106"/>
    <mergeCell ref="O98:O106"/>
    <mergeCell ref="O111:O112"/>
    <mergeCell ref="M111:M112"/>
    <mergeCell ref="M88:M97"/>
    <mergeCell ref="N88:N97"/>
    <mergeCell ref="E99:F106"/>
    <mergeCell ref="G84:G87"/>
    <mergeCell ref="G89:G96"/>
    <mergeCell ref="N83:N87"/>
    <mergeCell ref="L98:L106"/>
    <mergeCell ref="L83:L87"/>
    <mergeCell ref="M83:M87"/>
    <mergeCell ref="G77:G79"/>
    <mergeCell ref="G45:G54"/>
    <mergeCell ref="E29:F43"/>
    <mergeCell ref="E82:F82"/>
    <mergeCell ref="G70:G73"/>
    <mergeCell ref="G29:G36"/>
    <mergeCell ref="C66:D68"/>
    <mergeCell ref="C45:D64"/>
    <mergeCell ref="E45:F64"/>
    <mergeCell ref="E25:F27"/>
    <mergeCell ref="A24:A27"/>
    <mergeCell ref="B24:B27"/>
    <mergeCell ref="A83:A87"/>
    <mergeCell ref="B81:B82"/>
    <mergeCell ref="B83:B87"/>
    <mergeCell ref="C77:D80"/>
    <mergeCell ref="C29:D43"/>
    <mergeCell ref="C25:D27"/>
    <mergeCell ref="E77:F80"/>
    <mergeCell ref="A44:A64"/>
    <mergeCell ref="B44:B64"/>
    <mergeCell ref="B28:B43"/>
    <mergeCell ref="B411:B416"/>
    <mergeCell ref="A411:A416"/>
    <mergeCell ref="A363:A373"/>
    <mergeCell ref="B266:B271"/>
    <mergeCell ref="B329:B332"/>
    <mergeCell ref="A255:A265"/>
    <mergeCell ref="B241:B249"/>
    <mergeCell ref="C340:D340"/>
    <mergeCell ref="B357:B362"/>
    <mergeCell ref="B349:B356"/>
    <mergeCell ref="C350:D356"/>
    <mergeCell ref="A417:A422"/>
    <mergeCell ref="A436:A451"/>
    <mergeCell ref="B436:B451"/>
    <mergeCell ref="C418:D422"/>
    <mergeCell ref="A423:A431"/>
    <mergeCell ref="B423:B431"/>
    <mergeCell ref="C424:D431"/>
    <mergeCell ref="B417:B422"/>
    <mergeCell ref="C437:D451"/>
    <mergeCell ref="A472:A476"/>
    <mergeCell ref="B472:B476"/>
    <mergeCell ref="A452:A455"/>
    <mergeCell ref="A432:A435"/>
    <mergeCell ref="B432:B435"/>
    <mergeCell ref="B452:B455"/>
    <mergeCell ref="A456:A471"/>
    <mergeCell ref="B456:B471"/>
    <mergeCell ref="A386:A389"/>
    <mergeCell ref="A390:A393"/>
    <mergeCell ref="C375:D380"/>
    <mergeCell ref="A374:A380"/>
    <mergeCell ref="B381:B385"/>
    <mergeCell ref="A381:A385"/>
    <mergeCell ref="B386:B389"/>
    <mergeCell ref="B390:B393"/>
    <mergeCell ref="B374:B380"/>
    <mergeCell ref="C382:D385"/>
    <mergeCell ref="P411:P416"/>
    <mergeCell ref="P374:P380"/>
    <mergeCell ref="P386:P389"/>
    <mergeCell ref="P381:P385"/>
    <mergeCell ref="A3:T3"/>
    <mergeCell ref="T339:T340"/>
    <mergeCell ref="N4:T4"/>
    <mergeCell ref="M329:M332"/>
    <mergeCell ref="O339:O340"/>
    <mergeCell ref="A339:A340"/>
    <mergeCell ref="S298:S306"/>
    <mergeCell ref="A76:A80"/>
    <mergeCell ref="A65:A68"/>
    <mergeCell ref="T107:T110"/>
    <mergeCell ref="S155:S158"/>
    <mergeCell ref="S250:S254"/>
    <mergeCell ref="T250:T254"/>
    <mergeCell ref="T188:T195"/>
    <mergeCell ref="S312:S324"/>
    <mergeCell ref="T333:T334"/>
    <mergeCell ref="T76:T80"/>
    <mergeCell ref="S345:S348"/>
    <mergeCell ref="S113:S119"/>
    <mergeCell ref="T241:T249"/>
    <mergeCell ref="T255:T265"/>
    <mergeCell ref="T234:T240"/>
    <mergeCell ref="T312:T324"/>
    <mergeCell ref="T113:T119"/>
    <mergeCell ref="S325:S328"/>
    <mergeCell ref="S349:S356"/>
    <mergeCell ref="T345:T348"/>
    <mergeCell ref="T329:T332"/>
    <mergeCell ref="S339:S340"/>
    <mergeCell ref="S341:S344"/>
    <mergeCell ref="T325:T328"/>
    <mergeCell ref="T24:T27"/>
    <mergeCell ref="S65:S68"/>
    <mergeCell ref="S69:S75"/>
    <mergeCell ref="S76:S80"/>
    <mergeCell ref="T28:T43"/>
    <mergeCell ref="T65:T68"/>
    <mergeCell ref="T69:T75"/>
    <mergeCell ref="S417:S422"/>
    <mergeCell ref="S390:S393"/>
    <mergeCell ref="S374:S380"/>
    <mergeCell ref="Q381:Q382"/>
    <mergeCell ref="Q417:Q418"/>
    <mergeCell ref="Q394:Q395"/>
    <mergeCell ref="Q411:Q412"/>
    <mergeCell ref="Q390:Q391"/>
    <mergeCell ref="Q386:Q387"/>
    <mergeCell ref="S386:S389"/>
    <mergeCell ref="S272:S280"/>
    <mergeCell ref="S266:S271"/>
    <mergeCell ref="Q241:Q248"/>
    <mergeCell ref="S411:S416"/>
    <mergeCell ref="Q272:Q279"/>
    <mergeCell ref="Q281:Q290"/>
    <mergeCell ref="Q345:Q346"/>
    <mergeCell ref="Q357:Q358"/>
    <mergeCell ref="S307:S311"/>
    <mergeCell ref="S329:S332"/>
    <mergeCell ref="Q436:Q437"/>
    <mergeCell ref="S452:S455"/>
    <mergeCell ref="P472:P476"/>
    <mergeCell ref="S520:S530"/>
    <mergeCell ref="Q506:Q507"/>
    <mergeCell ref="P500:P505"/>
    <mergeCell ref="Q510:Q511"/>
    <mergeCell ref="P495:P499"/>
    <mergeCell ref="Q452:Q453"/>
    <mergeCell ref="Q495:Q496"/>
    <mergeCell ref="S486:S490"/>
    <mergeCell ref="Q491:Q492"/>
    <mergeCell ref="S491:S494"/>
    <mergeCell ref="S515:S519"/>
    <mergeCell ref="S482:S485"/>
    <mergeCell ref="T500:T505"/>
    <mergeCell ref="S500:S505"/>
    <mergeCell ref="S495:S499"/>
    <mergeCell ref="T495:T499"/>
    <mergeCell ref="T486:T490"/>
    <mergeCell ref="S472:S476"/>
    <mergeCell ref="S333:S334"/>
    <mergeCell ref="T510:T514"/>
    <mergeCell ref="S436:S451"/>
    <mergeCell ref="T341:T344"/>
    <mergeCell ref="S432:S435"/>
    <mergeCell ref="S510:S514"/>
    <mergeCell ref="T506:T509"/>
    <mergeCell ref="S506:S509"/>
    <mergeCell ref="S423:S431"/>
    <mergeCell ref="T411:T416"/>
    <mergeCell ref="T381:T385"/>
    <mergeCell ref="T545:T553"/>
    <mergeCell ref="T423:T431"/>
    <mergeCell ref="T432:T435"/>
    <mergeCell ref="T491:T494"/>
    <mergeCell ref="T452:T455"/>
    <mergeCell ref="T482:T485"/>
    <mergeCell ref="T390:T393"/>
    <mergeCell ref="T515:T519"/>
    <mergeCell ref="T386:T389"/>
    <mergeCell ref="T266:T271"/>
    <mergeCell ref="T363:T373"/>
    <mergeCell ref="T335:T338"/>
    <mergeCell ref="T307:T311"/>
    <mergeCell ref="T349:T356"/>
    <mergeCell ref="T357:T362"/>
    <mergeCell ref="T272:T280"/>
    <mergeCell ref="T374:T380"/>
    <mergeCell ref="T281:T297"/>
    <mergeCell ref="T531:T544"/>
    <mergeCell ref="T417:T422"/>
    <mergeCell ref="T436:T451"/>
    <mergeCell ref="T472:T476"/>
    <mergeCell ref="T477:T481"/>
    <mergeCell ref="T196:T208"/>
    <mergeCell ref="T456:T471"/>
    <mergeCell ref="T111:T112"/>
    <mergeCell ref="T159:T182"/>
    <mergeCell ref="T298:T306"/>
    <mergeCell ref="T216:T222"/>
    <mergeCell ref="T223:T233"/>
    <mergeCell ref="T146:T154"/>
    <mergeCell ref="T209:T215"/>
    <mergeCell ref="T155:T158"/>
    <mergeCell ref="Q183:Q185"/>
    <mergeCell ref="T20:T23"/>
    <mergeCell ref="T44:T64"/>
    <mergeCell ref="T98:T106"/>
    <mergeCell ref="T83:T87"/>
    <mergeCell ref="T81:T82"/>
    <mergeCell ref="S159:S182"/>
    <mergeCell ref="S88:S97"/>
    <mergeCell ref="T183:T187"/>
    <mergeCell ref="Q65:Q67"/>
    <mergeCell ref="Q234:Q235"/>
    <mergeCell ref="Q196:Q205"/>
    <mergeCell ref="S223:S233"/>
    <mergeCell ref="S196:S208"/>
    <mergeCell ref="S209:S215"/>
    <mergeCell ref="Q216:Q221"/>
    <mergeCell ref="A357:A362"/>
    <mergeCell ref="O159:O182"/>
    <mergeCell ref="P307:P311"/>
    <mergeCell ref="P325:P328"/>
    <mergeCell ref="P339:P340"/>
    <mergeCell ref="O307:O311"/>
    <mergeCell ref="P312:P324"/>
    <mergeCell ref="P333:P334"/>
    <mergeCell ref="P188:P195"/>
    <mergeCell ref="A341:A344"/>
    <mergeCell ref="A345:A348"/>
    <mergeCell ref="A307:A311"/>
    <mergeCell ref="A333:A334"/>
    <mergeCell ref="B307:B311"/>
    <mergeCell ref="B333:B334"/>
    <mergeCell ref="B345:B348"/>
    <mergeCell ref="B339:B340"/>
    <mergeCell ref="B325:B328"/>
    <mergeCell ref="B341:B344"/>
    <mergeCell ref="S183:S187"/>
    <mergeCell ref="B363:B373"/>
    <mergeCell ref="B312:B324"/>
    <mergeCell ref="Q312:Q314"/>
    <mergeCell ref="S188:S195"/>
    <mergeCell ref="Q250:Q252"/>
    <mergeCell ref="S255:S265"/>
    <mergeCell ref="S234:S240"/>
    <mergeCell ref="S241:S249"/>
    <mergeCell ref="A329:A332"/>
    <mergeCell ref="A312:A324"/>
    <mergeCell ref="C330:D332"/>
    <mergeCell ref="B335:B338"/>
    <mergeCell ref="A325:A328"/>
    <mergeCell ref="C336:D338"/>
    <mergeCell ref="A272:A280"/>
    <mergeCell ref="A216:A222"/>
    <mergeCell ref="A223:A233"/>
    <mergeCell ref="C224:D233"/>
    <mergeCell ref="B223:B233"/>
    <mergeCell ref="A241:A249"/>
    <mergeCell ref="A234:A240"/>
    <mergeCell ref="A266:A271"/>
    <mergeCell ref="B234:B240"/>
    <mergeCell ref="C256:D265"/>
    <mergeCell ref="B216:B222"/>
    <mergeCell ref="C235:D240"/>
    <mergeCell ref="E217:F222"/>
    <mergeCell ref="A159:A182"/>
    <mergeCell ref="A188:A195"/>
    <mergeCell ref="A183:A187"/>
    <mergeCell ref="A209:A215"/>
    <mergeCell ref="E189:F195"/>
    <mergeCell ref="B196:B208"/>
    <mergeCell ref="C197:D208"/>
    <mergeCell ref="C217:D222"/>
    <mergeCell ref="A155:A158"/>
    <mergeCell ref="C184:D187"/>
    <mergeCell ref="C210:D215"/>
    <mergeCell ref="B155:B158"/>
    <mergeCell ref="C156:D158"/>
    <mergeCell ref="B209:B215"/>
    <mergeCell ref="B188:B195"/>
    <mergeCell ref="C189:D195"/>
    <mergeCell ref="B183:B187"/>
    <mergeCell ref="A196:A208"/>
    <mergeCell ref="E21:F23"/>
    <mergeCell ref="E112:F112"/>
    <mergeCell ref="B146:B154"/>
    <mergeCell ref="A98:A106"/>
    <mergeCell ref="C112:D112"/>
    <mergeCell ref="B159:B182"/>
    <mergeCell ref="C160:D182"/>
    <mergeCell ref="B98:B106"/>
    <mergeCell ref="A107:A110"/>
    <mergeCell ref="B107:B110"/>
    <mergeCell ref="C147:D154"/>
    <mergeCell ref="L146:L154"/>
    <mergeCell ref="L113:L119"/>
    <mergeCell ref="G121:G140"/>
    <mergeCell ref="G147:G153"/>
    <mergeCell ref="G114:G119"/>
    <mergeCell ref="E108:F110"/>
    <mergeCell ref="A146:A154"/>
    <mergeCell ref="E114:F119"/>
    <mergeCell ref="E121:F145"/>
    <mergeCell ref="A111:A112"/>
    <mergeCell ref="C114:D119"/>
    <mergeCell ref="B113:B119"/>
    <mergeCell ref="B111:B112"/>
    <mergeCell ref="A120:A145"/>
    <mergeCell ref="C121:D145"/>
    <mergeCell ref="B120:B145"/>
    <mergeCell ref="C84:D87"/>
    <mergeCell ref="E84:F87"/>
    <mergeCell ref="C82:D82"/>
    <mergeCell ref="E66:F68"/>
    <mergeCell ref="A20:A23"/>
    <mergeCell ref="C99:D106"/>
    <mergeCell ref="A113:A119"/>
    <mergeCell ref="A28:A43"/>
    <mergeCell ref="A81:A82"/>
    <mergeCell ref="B76:B80"/>
    <mergeCell ref="C21:D23"/>
    <mergeCell ref="B65:B68"/>
    <mergeCell ref="C108:D110"/>
    <mergeCell ref="B20:B23"/>
    <mergeCell ref="B14:B19"/>
    <mergeCell ref="B5:B6"/>
    <mergeCell ref="A14:A19"/>
    <mergeCell ref="C15:D19"/>
    <mergeCell ref="B7:B11"/>
    <mergeCell ref="A5:A6"/>
    <mergeCell ref="C5:D5"/>
    <mergeCell ref="A7:A11"/>
    <mergeCell ref="A12:A13"/>
    <mergeCell ref="H5:L5"/>
    <mergeCell ref="E5:F5"/>
    <mergeCell ref="O14:O19"/>
    <mergeCell ref="B12:B13"/>
    <mergeCell ref="N12:N13"/>
    <mergeCell ref="M5:M6"/>
    <mergeCell ref="M12:M13"/>
    <mergeCell ref="C13:D13"/>
    <mergeCell ref="E15:F19"/>
    <mergeCell ref="C8:D11"/>
    <mergeCell ref="E8:F11"/>
    <mergeCell ref="M14:M19"/>
    <mergeCell ref="M7:M11"/>
    <mergeCell ref="O12:O13"/>
    <mergeCell ref="L7:L11"/>
    <mergeCell ref="G8:G9"/>
    <mergeCell ref="L12:L13"/>
    <mergeCell ref="G15:G18"/>
    <mergeCell ref="L14:L19"/>
    <mergeCell ref="P12:P13"/>
    <mergeCell ref="P14:P19"/>
    <mergeCell ref="N14:N19"/>
    <mergeCell ref="E13:F13"/>
    <mergeCell ref="N5:N6"/>
    <mergeCell ref="N7:N11"/>
    <mergeCell ref="O5:O6"/>
    <mergeCell ref="P5:P6"/>
    <mergeCell ref="O7:O11"/>
    <mergeCell ref="AF5:AF6"/>
    <mergeCell ref="Y5:Y6"/>
    <mergeCell ref="R5:R6"/>
    <mergeCell ref="T7:T11"/>
    <mergeCell ref="Q5:Q6"/>
    <mergeCell ref="AD5:AE5"/>
    <mergeCell ref="S5:S6"/>
    <mergeCell ref="Q7:Q8"/>
    <mergeCell ref="P7:P11"/>
    <mergeCell ref="Q14:Q16"/>
    <mergeCell ref="AC5:AC6"/>
    <mergeCell ref="AA5:AA6"/>
    <mergeCell ref="T12:T13"/>
    <mergeCell ref="S12:S13"/>
    <mergeCell ref="S14:S19"/>
    <mergeCell ref="Z5:Z6"/>
    <mergeCell ref="T5:T6"/>
    <mergeCell ref="S7:S11"/>
    <mergeCell ref="T14:T19"/>
    <mergeCell ref="AG5:AG6"/>
    <mergeCell ref="AO5:AO6"/>
    <mergeCell ref="AH5:AH6"/>
    <mergeCell ref="AB5:AB6"/>
    <mergeCell ref="AI5:AM5"/>
    <mergeCell ref="AN5:AN6"/>
    <mergeCell ref="AU5:AU6"/>
    <mergeCell ref="AV5:AV6"/>
    <mergeCell ref="AQ5:AQ6"/>
    <mergeCell ref="AR5:AR6"/>
    <mergeCell ref="AP5:AP6"/>
    <mergeCell ref="AX5:BB5"/>
    <mergeCell ref="BC5:BC6"/>
    <mergeCell ref="BD5:BD6"/>
    <mergeCell ref="AS5:AT5"/>
    <mergeCell ref="AW5:AW6"/>
    <mergeCell ref="BM5:BQ5"/>
    <mergeCell ref="BE5:BE6"/>
    <mergeCell ref="BF5:BF6"/>
    <mergeCell ref="BG5:BG6"/>
    <mergeCell ref="BH5:BI5"/>
    <mergeCell ref="BJ5:BJ6"/>
    <mergeCell ref="BK5:BK6"/>
    <mergeCell ref="BL5:BL6"/>
    <mergeCell ref="BR5:BR6"/>
    <mergeCell ref="BS5:BS6"/>
    <mergeCell ref="BT5:BT6"/>
    <mergeCell ref="BU5:BU6"/>
    <mergeCell ref="BV5:BV6"/>
    <mergeCell ref="BW5:BX5"/>
    <mergeCell ref="BY5:BY6"/>
    <mergeCell ref="BZ5:BZ6"/>
    <mergeCell ref="CA5:CA6"/>
    <mergeCell ref="CB5:CF5"/>
    <mergeCell ref="CG5:CG6"/>
    <mergeCell ref="CH5:CH6"/>
    <mergeCell ref="CI5:CI6"/>
    <mergeCell ref="CJ5:CJ6"/>
    <mergeCell ref="CK5:CK6"/>
    <mergeCell ref="CL5:CM5"/>
    <mergeCell ref="CN5:CN6"/>
    <mergeCell ref="CO5:CO6"/>
    <mergeCell ref="CP5:CP6"/>
    <mergeCell ref="CQ5:CU5"/>
    <mergeCell ref="CV5:CV6"/>
    <mergeCell ref="CW5:CW6"/>
    <mergeCell ref="CX5:CX6"/>
    <mergeCell ref="CY5:CY6"/>
    <mergeCell ref="CZ5:CZ6"/>
    <mergeCell ref="DA5:DB5"/>
    <mergeCell ref="DC5:DC6"/>
    <mergeCell ref="DD5:DD6"/>
    <mergeCell ref="DE5:DE6"/>
    <mergeCell ref="DF5:DJ5"/>
    <mergeCell ref="DK5:DK6"/>
    <mergeCell ref="DL5:DL6"/>
    <mergeCell ref="DM5:DM6"/>
    <mergeCell ref="DN5:DN6"/>
    <mergeCell ref="DO5:DO6"/>
    <mergeCell ref="DP5:DQ5"/>
    <mergeCell ref="DR5:DR6"/>
    <mergeCell ref="DS5:DS6"/>
    <mergeCell ref="DT5:DT6"/>
    <mergeCell ref="DU5:DY5"/>
    <mergeCell ref="EE5:EF5"/>
    <mergeCell ref="EG5:EG6"/>
    <mergeCell ref="EH5:EH6"/>
    <mergeCell ref="DZ5:DZ6"/>
    <mergeCell ref="EA5:EA6"/>
    <mergeCell ref="EB5:EB6"/>
    <mergeCell ref="EC5:EC6"/>
    <mergeCell ref="ED5:ED6"/>
    <mergeCell ref="HM5:HM6"/>
    <mergeCell ref="EI5:EI6"/>
    <mergeCell ref="EJ5:EN5"/>
    <mergeCell ref="EO5:EO6"/>
    <mergeCell ref="EP5:EP6"/>
    <mergeCell ref="EQ5:EQ6"/>
    <mergeCell ref="ER5:ER6"/>
    <mergeCell ref="IF5:IG5"/>
    <mergeCell ref="IQ5:IQ6"/>
    <mergeCell ref="IK5:IO5"/>
    <mergeCell ref="HL5:HL6"/>
    <mergeCell ref="IC5:IC6"/>
    <mergeCell ref="HV5:HZ5"/>
    <mergeCell ref="HN5:HN6"/>
    <mergeCell ref="HQ5:HR5"/>
    <mergeCell ref="HS5:HS6"/>
    <mergeCell ref="HO5:HO6"/>
    <mergeCell ref="IR5:IR6"/>
    <mergeCell ref="IH5:IH6"/>
    <mergeCell ref="II5:II6"/>
    <mergeCell ref="IP5:IP6"/>
    <mergeCell ref="IJ5:IJ6"/>
    <mergeCell ref="IE5:IE6"/>
    <mergeCell ref="HT5:HT6"/>
    <mergeCell ref="HE5:HE6"/>
    <mergeCell ref="HG5:HK5"/>
    <mergeCell ref="HF5:HF6"/>
    <mergeCell ref="HP5:HP6"/>
    <mergeCell ref="HU5:HU6"/>
    <mergeCell ref="IA5:IA6"/>
    <mergeCell ref="IB5:IB6"/>
    <mergeCell ref="ID5:ID6"/>
    <mergeCell ref="HA5:HA6"/>
    <mergeCell ref="GJ5:GJ6"/>
    <mergeCell ref="GY5:GY6"/>
    <mergeCell ref="GP5:GP6"/>
    <mergeCell ref="GQ5:GQ6"/>
    <mergeCell ref="GO5:GO6"/>
    <mergeCell ref="GK5:GK6"/>
    <mergeCell ref="HD5:HD6"/>
    <mergeCell ref="HB5:HC5"/>
    <mergeCell ref="GW5:GW6"/>
    <mergeCell ref="GH5:GH6"/>
    <mergeCell ref="GZ5:GZ6"/>
    <mergeCell ref="GR5:GV5"/>
    <mergeCell ref="GL5:GL6"/>
    <mergeCell ref="GM5:GN5"/>
    <mergeCell ref="GI5:GI6"/>
    <mergeCell ref="GX5:GX6"/>
    <mergeCell ref="FZ5:FZ6"/>
    <mergeCell ref="GA5:GA6"/>
    <mergeCell ref="GB5:GB6"/>
    <mergeCell ref="FM5:FM6"/>
    <mergeCell ref="FX5:FY5"/>
    <mergeCell ref="FS5:FS6"/>
    <mergeCell ref="FV5:FV6"/>
    <mergeCell ref="FU5:FU6"/>
    <mergeCell ref="FW5:FW6"/>
    <mergeCell ref="FT5:FT6"/>
    <mergeCell ref="FG5:FG6"/>
    <mergeCell ref="FI5:FJ5"/>
    <mergeCell ref="FL5:FL6"/>
    <mergeCell ref="FD5:FD6"/>
    <mergeCell ref="FK5:FK6"/>
    <mergeCell ref="FH5:FH6"/>
    <mergeCell ref="EX5:EX6"/>
    <mergeCell ref="EY5:FC5"/>
    <mergeCell ref="FF5:FF6"/>
    <mergeCell ref="EW5:EW6"/>
    <mergeCell ref="E224:F233"/>
    <mergeCell ref="E267:F271"/>
    <mergeCell ref="GC5:GG5"/>
    <mergeCell ref="FE5:FE6"/>
    <mergeCell ref="FN5:FR5"/>
    <mergeCell ref="L183:L187"/>
    <mergeCell ref="ES5:ES6"/>
    <mergeCell ref="ET5:EU5"/>
    <mergeCell ref="E242:F249"/>
    <mergeCell ref="EV5:EV6"/>
    <mergeCell ref="E160:F182"/>
    <mergeCell ref="E184:F187"/>
    <mergeCell ref="G160:G171"/>
    <mergeCell ref="E210:F215"/>
    <mergeCell ref="L155:L158"/>
    <mergeCell ref="G251:G252"/>
    <mergeCell ref="L255:L265"/>
    <mergeCell ref="G256:G264"/>
    <mergeCell ref="G217:G221"/>
    <mergeCell ref="E330:F332"/>
    <mergeCell ref="C326:D328"/>
    <mergeCell ref="E453:F455"/>
    <mergeCell ref="C433:D435"/>
    <mergeCell ref="C453:D455"/>
    <mergeCell ref="C412:D416"/>
    <mergeCell ref="E346:F348"/>
    <mergeCell ref="C346:D348"/>
    <mergeCell ref="C391:D393"/>
    <mergeCell ref="C358:D362"/>
    <mergeCell ref="E235:F240"/>
    <mergeCell ref="C308:D311"/>
    <mergeCell ref="G313:G316"/>
    <mergeCell ref="C342:D344"/>
    <mergeCell ref="E326:F328"/>
    <mergeCell ref="E299:F306"/>
    <mergeCell ref="G308:G309"/>
    <mergeCell ref="E334:F334"/>
    <mergeCell ref="C242:D249"/>
    <mergeCell ref="C334:D334"/>
    <mergeCell ref="G273:G280"/>
    <mergeCell ref="G267:G268"/>
    <mergeCell ref="L216:L222"/>
    <mergeCell ref="M216:M222"/>
    <mergeCell ref="G242:G249"/>
    <mergeCell ref="L241:L249"/>
    <mergeCell ref="L272:L280"/>
    <mergeCell ref="G210:G214"/>
    <mergeCell ref="G197:G205"/>
    <mergeCell ref="M223:M233"/>
    <mergeCell ref="L223:L233"/>
    <mergeCell ref="G189:G192"/>
    <mergeCell ref="U575:U576"/>
    <mergeCell ref="Q188:Q190"/>
    <mergeCell ref="Q307:Q308"/>
    <mergeCell ref="N482:N485"/>
    <mergeCell ref="O335:O338"/>
    <mergeCell ref="N335:N338"/>
    <mergeCell ref="N333:N334"/>
    <mergeCell ref="G224:G231"/>
    <mergeCell ref="G235:G236"/>
    <mergeCell ref="N307:N311"/>
    <mergeCell ref="M339:M340"/>
    <mergeCell ref="O436:O451"/>
    <mergeCell ref="O357:O362"/>
    <mergeCell ref="N345:N348"/>
    <mergeCell ref="M357:M362"/>
    <mergeCell ref="M345:M348"/>
    <mergeCell ref="M411:M416"/>
    <mergeCell ref="O325:O328"/>
    <mergeCell ref="N349:N356"/>
    <mergeCell ref="L298:L306"/>
    <mergeCell ref="L545:L553"/>
    <mergeCell ref="L610:L619"/>
    <mergeCell ref="L515:L519"/>
    <mergeCell ref="L456:L471"/>
    <mergeCell ref="L531:L544"/>
    <mergeCell ref="L341:L344"/>
    <mergeCell ref="S620:S624"/>
    <mergeCell ref="L312:L324"/>
    <mergeCell ref="M325:M328"/>
    <mergeCell ref="Q500:Q501"/>
    <mergeCell ref="Q472:Q473"/>
    <mergeCell ref="P486:P490"/>
    <mergeCell ref="O363:O373"/>
    <mergeCell ref="M531:M544"/>
    <mergeCell ref="M583:M594"/>
    <mergeCell ref="N339:N340"/>
    <mergeCell ref="M595:M596"/>
    <mergeCell ref="O386:O389"/>
    <mergeCell ref="M636:M638"/>
    <mergeCell ref="O644:O646"/>
    <mergeCell ref="N636:N638"/>
    <mergeCell ref="N644:N646"/>
    <mergeCell ref="N597:N600"/>
    <mergeCell ref="N515:N519"/>
    <mergeCell ref="N495:N499"/>
    <mergeCell ref="N452:N455"/>
    <mergeCell ref="C683:D683"/>
    <mergeCell ref="C660:D660"/>
    <mergeCell ref="E661:F661"/>
    <mergeCell ref="E660:F660"/>
    <mergeCell ref="N325:N328"/>
    <mergeCell ref="O374:O380"/>
    <mergeCell ref="O381:O385"/>
    <mergeCell ref="P335:P338"/>
    <mergeCell ref="O333:O334"/>
    <mergeCell ref="N363:N373"/>
    <mergeCell ref="S636:S638"/>
    <mergeCell ref="M644:M646"/>
    <mergeCell ref="O649:O659"/>
    <mergeCell ref="P636:P638"/>
    <mergeCell ref="P649:P659"/>
    <mergeCell ref="Q639:Q640"/>
    <mergeCell ref="O636:O638"/>
    <mergeCell ref="M639:M643"/>
    <mergeCell ref="N647:N648"/>
    <mergeCell ref="O647:O648"/>
    <mergeCell ref="N649:N659"/>
    <mergeCell ref="E632:F635"/>
    <mergeCell ref="L631:L635"/>
    <mergeCell ref="G602:G607"/>
    <mergeCell ref="G650:G652"/>
    <mergeCell ref="G627:G629"/>
    <mergeCell ref="N625:N630"/>
    <mergeCell ref="M610:M619"/>
    <mergeCell ref="L647:L648"/>
    <mergeCell ref="E650:F659"/>
    <mergeCell ref="E701:F701"/>
    <mergeCell ref="E683:F683"/>
    <mergeCell ref="E686:F686"/>
    <mergeCell ref="M601:M609"/>
    <mergeCell ref="E602:F609"/>
    <mergeCell ref="H661:I661"/>
    <mergeCell ref="J661:K661"/>
    <mergeCell ref="L649:L659"/>
    <mergeCell ref="L644:L646"/>
    <mergeCell ref="L639:L643"/>
    <mergeCell ref="O20:O23"/>
    <mergeCell ref="O24:O27"/>
    <mergeCell ref="O44:O64"/>
    <mergeCell ref="L329:L332"/>
    <mergeCell ref="N241:N249"/>
    <mergeCell ref="L209:L215"/>
    <mergeCell ref="M209:M215"/>
    <mergeCell ref="M188:M195"/>
    <mergeCell ref="N329:N332"/>
    <mergeCell ref="O266:O271"/>
    <mergeCell ref="O88:O97"/>
    <mergeCell ref="O81:O82"/>
    <mergeCell ref="O83:O87"/>
    <mergeCell ref="N107:N110"/>
    <mergeCell ref="Q146:Q151"/>
    <mergeCell ref="Q113:Q119"/>
    <mergeCell ref="P76:P80"/>
    <mergeCell ref="P28:P43"/>
    <mergeCell ref="P98:P106"/>
    <mergeCell ref="Q83:Q87"/>
    <mergeCell ref="P65:P68"/>
    <mergeCell ref="P81:P82"/>
    <mergeCell ref="P69:P75"/>
    <mergeCell ref="P44:P64"/>
    <mergeCell ref="S44:S64"/>
    <mergeCell ref="Q44:Q51"/>
    <mergeCell ref="Q28:Q33"/>
    <mergeCell ref="S24:S27"/>
    <mergeCell ref="S28:S43"/>
    <mergeCell ref="Q24:Q26"/>
    <mergeCell ref="Q20:Q21"/>
    <mergeCell ref="S20:S23"/>
    <mergeCell ref="P20:P23"/>
    <mergeCell ref="P24:P27"/>
    <mergeCell ref="P241:P249"/>
    <mergeCell ref="O113:O119"/>
    <mergeCell ref="P113:P119"/>
    <mergeCell ref="N146:N154"/>
    <mergeCell ref="N234:N240"/>
    <mergeCell ref="O223:O233"/>
    <mergeCell ref="O216:O222"/>
    <mergeCell ref="O155:O158"/>
    <mergeCell ref="P146:P154"/>
    <mergeCell ref="N155:N158"/>
    <mergeCell ref="O188:O195"/>
    <mergeCell ref="O183:O187"/>
    <mergeCell ref="N113:N119"/>
    <mergeCell ref="N183:N187"/>
    <mergeCell ref="O209:O215"/>
    <mergeCell ref="O255:O265"/>
    <mergeCell ref="N216:N222"/>
    <mergeCell ref="O234:O240"/>
    <mergeCell ref="L188:L195"/>
    <mergeCell ref="N272:N280"/>
    <mergeCell ref="M255:M265"/>
    <mergeCell ref="M272:M280"/>
    <mergeCell ref="L266:L271"/>
    <mergeCell ref="M266:M271"/>
    <mergeCell ref="P341:P344"/>
    <mergeCell ref="P363:P373"/>
    <mergeCell ref="C483:D485"/>
    <mergeCell ref="E483:F485"/>
    <mergeCell ref="E473:F476"/>
    <mergeCell ref="E364:F373"/>
    <mergeCell ref="C473:D476"/>
    <mergeCell ref="P482:P485"/>
    <mergeCell ref="P436:P451"/>
    <mergeCell ref="P417:P422"/>
    <mergeCell ref="S381:S385"/>
    <mergeCell ref="P357:P362"/>
    <mergeCell ref="N381:N385"/>
    <mergeCell ref="N341:N344"/>
    <mergeCell ref="N357:N362"/>
    <mergeCell ref="S363:S373"/>
    <mergeCell ref="O349:O356"/>
    <mergeCell ref="P349:P356"/>
    <mergeCell ref="P345:P348"/>
    <mergeCell ref="O341:O344"/>
    <mergeCell ref="B482:B485"/>
    <mergeCell ref="E487:F490"/>
    <mergeCell ref="C487:D490"/>
    <mergeCell ref="A531:A544"/>
    <mergeCell ref="B531:B544"/>
    <mergeCell ref="A482:A485"/>
    <mergeCell ref="C511:D514"/>
    <mergeCell ref="B486:B490"/>
    <mergeCell ref="B495:B499"/>
    <mergeCell ref="A500:A505"/>
    <mergeCell ref="A554:A559"/>
    <mergeCell ref="C492:D494"/>
    <mergeCell ref="C496:D499"/>
    <mergeCell ref="E492:F494"/>
    <mergeCell ref="A545:A553"/>
    <mergeCell ref="A491:A494"/>
    <mergeCell ref="C555:D559"/>
    <mergeCell ref="A595:A596"/>
    <mergeCell ref="A597:A600"/>
    <mergeCell ref="C561:D569"/>
    <mergeCell ref="A583:A594"/>
    <mergeCell ref="C596:D596"/>
    <mergeCell ref="B601:B609"/>
    <mergeCell ref="B570:B574"/>
    <mergeCell ref="B520:B530"/>
    <mergeCell ref="B575:B582"/>
    <mergeCell ref="B554:B559"/>
    <mergeCell ref="B597:B600"/>
    <mergeCell ref="B583:B594"/>
    <mergeCell ref="B595:B596"/>
    <mergeCell ref="C571:D574"/>
    <mergeCell ref="C576:D582"/>
    <mergeCell ref="A575:A582"/>
    <mergeCell ref="A570:A574"/>
    <mergeCell ref="A520:A530"/>
    <mergeCell ref="C516:D519"/>
    <mergeCell ref="C521:D530"/>
    <mergeCell ref="C501:D505"/>
    <mergeCell ref="B506:B509"/>
    <mergeCell ref="B515:B519"/>
    <mergeCell ref="A510:A514"/>
    <mergeCell ref="B510:B514"/>
    <mergeCell ref="A515:A519"/>
    <mergeCell ref="A506:A509"/>
    <mergeCell ref="L495:L499"/>
    <mergeCell ref="E496:F499"/>
    <mergeCell ref="C507:D509"/>
    <mergeCell ref="B500:B505"/>
    <mergeCell ref="E501:F505"/>
    <mergeCell ref="L500:L505"/>
    <mergeCell ref="L506:L509"/>
    <mergeCell ref="A495:A499"/>
    <mergeCell ref="M554:M559"/>
    <mergeCell ref="M545:M553"/>
    <mergeCell ref="N510:N514"/>
    <mergeCell ref="B491:B494"/>
    <mergeCell ref="L491:L494"/>
    <mergeCell ref="C546:D553"/>
    <mergeCell ref="B545:B553"/>
    <mergeCell ref="G532:G537"/>
    <mergeCell ref="M510:M514"/>
    <mergeCell ref="M500:M505"/>
    <mergeCell ref="P520:P530"/>
    <mergeCell ref="M520:M530"/>
    <mergeCell ref="L510:L514"/>
    <mergeCell ref="M506:M509"/>
    <mergeCell ref="O515:O519"/>
    <mergeCell ref="C637:D638"/>
    <mergeCell ref="O241:O249"/>
    <mergeCell ref="O329:O332"/>
    <mergeCell ref="O298:O306"/>
    <mergeCell ref="M307:M311"/>
    <mergeCell ref="M312:M324"/>
    <mergeCell ref="O272:O280"/>
    <mergeCell ref="M575:M582"/>
    <mergeCell ref="M333:M334"/>
    <mergeCell ref="L333:L334"/>
    <mergeCell ref="P216:P222"/>
    <mergeCell ref="P255:P265"/>
    <mergeCell ref="Q155:Q156"/>
    <mergeCell ref="P234:P240"/>
    <mergeCell ref="P159:P182"/>
    <mergeCell ref="Q209:Q212"/>
    <mergeCell ref="P183:P187"/>
    <mergeCell ref="Q223:Q230"/>
    <mergeCell ref="P223:P233"/>
    <mergeCell ref="P155:P158"/>
    <mergeCell ref="S81:S82"/>
    <mergeCell ref="M234:M240"/>
    <mergeCell ref="S146:S154"/>
    <mergeCell ref="Q159:Q167"/>
    <mergeCell ref="Q120:Q137"/>
    <mergeCell ref="P88:P97"/>
    <mergeCell ref="M196:M208"/>
    <mergeCell ref="O146:O154"/>
    <mergeCell ref="N188:N195"/>
    <mergeCell ref="P196:P208"/>
    <mergeCell ref="Q325:Q327"/>
    <mergeCell ref="N312:N324"/>
    <mergeCell ref="L325:L328"/>
    <mergeCell ref="L234:L240"/>
    <mergeCell ref="P266:P271"/>
    <mergeCell ref="P272:P280"/>
    <mergeCell ref="P298:P306"/>
    <mergeCell ref="Q298:Q304"/>
    <mergeCell ref="P250:P254"/>
    <mergeCell ref="O250:O254"/>
    <mergeCell ref="Q255:Q261"/>
    <mergeCell ref="C251:D254"/>
    <mergeCell ref="E251:F254"/>
    <mergeCell ref="L250:L254"/>
    <mergeCell ref="B255:B265"/>
    <mergeCell ref="C267:D271"/>
    <mergeCell ref="M298:M306"/>
    <mergeCell ref="L307:L311"/>
    <mergeCell ref="E256:F265"/>
    <mergeCell ref="B272:B280"/>
    <mergeCell ref="C273:D280"/>
    <mergeCell ref="G282:G293"/>
    <mergeCell ref="G299:G305"/>
    <mergeCell ref="E273:F280"/>
    <mergeCell ref="G555:G556"/>
    <mergeCell ref="L520:L530"/>
    <mergeCell ref="E546:F553"/>
    <mergeCell ref="A349:A356"/>
    <mergeCell ref="L381:L385"/>
    <mergeCell ref="E511:F514"/>
    <mergeCell ref="E516:F519"/>
    <mergeCell ref="E457:F471"/>
    <mergeCell ref="E521:F530"/>
    <mergeCell ref="L554:L559"/>
    <mergeCell ref="T554:T559"/>
    <mergeCell ref="E308:F311"/>
    <mergeCell ref="T520:T530"/>
    <mergeCell ref="L486:L490"/>
    <mergeCell ref="G457:G458"/>
    <mergeCell ref="P456:P471"/>
    <mergeCell ref="E532:F544"/>
    <mergeCell ref="S456:S471"/>
    <mergeCell ref="E313:F324"/>
    <mergeCell ref="M491:M494"/>
    <mergeCell ref="M456:M471"/>
    <mergeCell ref="N456:N471"/>
    <mergeCell ref="O456:O471"/>
    <mergeCell ref="L349:L356"/>
    <mergeCell ref="M349:M356"/>
    <mergeCell ref="O394:O410"/>
    <mergeCell ref="N436:N451"/>
    <mergeCell ref="L357:L362"/>
    <mergeCell ref="L452:L455"/>
    <mergeCell ref="M381:M385"/>
    <mergeCell ref="M341:M344"/>
    <mergeCell ref="T88:T97"/>
    <mergeCell ref="A88:A97"/>
    <mergeCell ref="B88:B97"/>
    <mergeCell ref="C89:D97"/>
    <mergeCell ref="E89:F97"/>
    <mergeCell ref="L88:L97"/>
    <mergeCell ref="Q88:Q95"/>
    <mergeCell ref="O196:O208"/>
    <mergeCell ref="L196:L208"/>
    <mergeCell ref="T120:T145"/>
    <mergeCell ref="L120:L145"/>
    <mergeCell ref="M120:M145"/>
    <mergeCell ref="N120:N145"/>
    <mergeCell ref="O120:O145"/>
    <mergeCell ref="P120:P145"/>
    <mergeCell ref="S120:S145"/>
    <mergeCell ref="E358:F362"/>
    <mergeCell ref="C626:D630"/>
    <mergeCell ref="E626:F630"/>
    <mergeCell ref="C457:D471"/>
    <mergeCell ref="E555:F559"/>
    <mergeCell ref="E576:F582"/>
    <mergeCell ref="C532:D544"/>
    <mergeCell ref="E507:F509"/>
    <mergeCell ref="C584:D594"/>
    <mergeCell ref="C598:D600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8" scale="60" r:id="rId3"/>
  <headerFooter alignWithMargins="0">
    <oddHeader>&amp;LMinisterstvo financií SR
Odbor platieb&amp;RPríloha č. 4</oddHeader>
    <oddFooter>&amp;LFM EHP/NFM&amp;C&amp;P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P117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2" sqref="A32:O41"/>
    </sheetView>
  </sheetViews>
  <sheetFormatPr defaultColWidth="9.140625" defaultRowHeight="12.75"/>
  <cols>
    <col min="3" max="3" width="11.7109375" style="0" customWidth="1"/>
    <col min="4" max="4" width="10.8515625" style="0" customWidth="1"/>
    <col min="5" max="7" width="12.7109375" style="0" bestFit="1" customWidth="1"/>
    <col min="8" max="8" width="11.7109375" style="0" bestFit="1" customWidth="1"/>
    <col min="9" max="9" width="13.00390625" style="0" customWidth="1"/>
    <col min="10" max="10" width="13.140625" style="0" customWidth="1"/>
    <col min="11" max="12" width="13.57421875" style="0" customWidth="1"/>
    <col min="13" max="13" width="12.421875" style="0" customWidth="1"/>
    <col min="14" max="14" width="11.7109375" style="0" customWidth="1"/>
    <col min="15" max="15" width="10.7109375" style="0" customWidth="1"/>
  </cols>
  <sheetData>
    <row r="2" spans="1:14" ht="33.75" customHeight="1">
      <c r="A2" s="902" t="s">
        <v>327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</row>
    <row r="3" spans="10:14" ht="13.5" thickBot="1">
      <c r="J3" s="786" t="s">
        <v>87</v>
      </c>
      <c r="K3" s="786"/>
      <c r="L3" s="786"/>
      <c r="M3" s="786"/>
      <c r="N3" s="786"/>
    </row>
    <row r="4" spans="1:15" s="1" customFormat="1" ht="16.5" customHeight="1">
      <c r="A4" s="984" t="s">
        <v>273</v>
      </c>
      <c r="B4" s="984" t="s">
        <v>100</v>
      </c>
      <c r="C4" s="596" t="s">
        <v>145</v>
      </c>
      <c r="D4" s="597" t="s">
        <v>4</v>
      </c>
      <c r="E4" s="977" t="s">
        <v>89</v>
      </c>
      <c r="F4" s="978"/>
      <c r="G4" s="978"/>
      <c r="H4" s="978"/>
      <c r="I4" s="979"/>
      <c r="J4" s="787" t="s">
        <v>274</v>
      </c>
      <c r="K4" s="787" t="s">
        <v>86</v>
      </c>
      <c r="L4" s="787" t="s">
        <v>275</v>
      </c>
      <c r="M4" s="787" t="s">
        <v>255</v>
      </c>
      <c r="N4" s="787" t="s">
        <v>198</v>
      </c>
      <c r="O4" s="1004" t="s">
        <v>318</v>
      </c>
    </row>
    <row r="5" spans="1:15" s="1" customFormat="1" ht="54" customHeight="1" thickBot="1">
      <c r="A5" s="985"/>
      <c r="B5" s="985"/>
      <c r="C5" s="791" t="s">
        <v>197</v>
      </c>
      <c r="D5" s="792"/>
      <c r="E5" s="617" t="s">
        <v>256</v>
      </c>
      <c r="F5" s="648" t="s">
        <v>6</v>
      </c>
      <c r="G5" s="648" t="s">
        <v>257</v>
      </c>
      <c r="H5" s="649" t="s">
        <v>8</v>
      </c>
      <c r="I5" s="618" t="s">
        <v>90</v>
      </c>
      <c r="J5" s="788"/>
      <c r="K5" s="788"/>
      <c r="L5" s="788"/>
      <c r="M5" s="788"/>
      <c r="N5" s="788"/>
      <c r="O5" s="1005"/>
    </row>
    <row r="6" spans="1:15" ht="15" customHeight="1">
      <c r="A6" s="1133" t="s">
        <v>101</v>
      </c>
      <c r="B6" s="1133" t="s">
        <v>102</v>
      </c>
      <c r="C6" s="61">
        <v>2076135.6</v>
      </c>
      <c r="D6" s="80">
        <v>366376.88</v>
      </c>
      <c r="E6" s="12">
        <f>5056473.2/30.126</f>
        <v>167844.16118967006</v>
      </c>
      <c r="F6" s="11">
        <f>5056473.2/30.126</f>
        <v>167844.16118967006</v>
      </c>
      <c r="G6" s="11">
        <f>892318.8/30.126</f>
        <v>29619.557857000596</v>
      </c>
      <c r="H6" s="13">
        <f>892318.8/30.126</f>
        <v>29619.557857000596</v>
      </c>
      <c r="I6" s="789">
        <f>SUM(E6:H13)</f>
        <v>2442512.475417911</v>
      </c>
      <c r="J6" s="1035">
        <f>I6/C7*100</f>
        <v>99.99999981240263</v>
      </c>
      <c r="K6" s="1035">
        <f>834004.84+310797+198498+95028*2</f>
        <v>1533355.8399999999</v>
      </c>
      <c r="L6" s="1035">
        <f>K6/SUM(C6)*100</f>
        <v>73.85624715456927</v>
      </c>
      <c r="M6" s="1035">
        <f>823741.356104362+155398+155399+99249*2+95028*2</f>
        <v>1523092.356104362</v>
      </c>
      <c r="N6" s="1035">
        <f>M6/C6*100</f>
        <v>73.36189197393283</v>
      </c>
      <c r="O6" s="1035">
        <f>K6/SUM(E6:F13)*100</f>
        <v>73.85624697295651</v>
      </c>
    </row>
    <row r="7" spans="1:15" ht="15" customHeight="1">
      <c r="A7" s="1134"/>
      <c r="B7" s="1134"/>
      <c r="C7" s="1129">
        <f>SUM(C6:D6)</f>
        <v>2442512.48</v>
      </c>
      <c r="D7" s="1130"/>
      <c r="E7" s="45">
        <f>192284.96/30.126</f>
        <v>6382.691362942309</v>
      </c>
      <c r="F7" s="22">
        <f>192284.96/30.126</f>
        <v>6382.691362942309</v>
      </c>
      <c r="G7" s="31">
        <f>33932.64/30.126</f>
        <v>1126.3572993427604</v>
      </c>
      <c r="H7" s="32">
        <f>33932.64/30.126</f>
        <v>1126.3572993427604</v>
      </c>
      <c r="I7" s="790"/>
      <c r="J7" s="1036"/>
      <c r="K7" s="1036"/>
      <c r="L7" s="1036"/>
      <c r="M7" s="1036"/>
      <c r="N7" s="1036"/>
      <c r="O7" s="1036"/>
    </row>
    <row r="8" spans="1:15" ht="15" customHeight="1">
      <c r="A8" s="1134"/>
      <c r="B8" s="1134"/>
      <c r="C8" s="1131"/>
      <c r="D8" s="1118"/>
      <c r="E8" s="505">
        <f>14615.28+248304.11</f>
        <v>262919.39</v>
      </c>
      <c r="F8" s="33">
        <f>14615.28+248304.11</f>
        <v>262919.39</v>
      </c>
      <c r="G8" s="33">
        <f>2579.17+43818.37</f>
        <v>46397.54</v>
      </c>
      <c r="H8" s="35">
        <f>2579.17+43818.37</f>
        <v>46397.54</v>
      </c>
      <c r="I8" s="790"/>
      <c r="J8" s="1036"/>
      <c r="K8" s="1036"/>
      <c r="L8" s="1036"/>
      <c r="M8" s="1036"/>
      <c r="N8" s="1036"/>
      <c r="O8" s="1036"/>
    </row>
    <row r="9" spans="1:15" ht="15" customHeight="1">
      <c r="A9" s="1134"/>
      <c r="B9" s="1134"/>
      <c r="C9" s="1131"/>
      <c r="D9" s="1118"/>
      <c r="E9" s="505">
        <v>119000</v>
      </c>
      <c r="F9" s="33">
        <v>119000</v>
      </c>
      <c r="G9" s="33">
        <v>21000</v>
      </c>
      <c r="H9" s="35">
        <v>21000</v>
      </c>
      <c r="I9" s="790"/>
      <c r="J9" s="1036"/>
      <c r="K9" s="1036"/>
      <c r="L9" s="1036"/>
      <c r="M9" s="1036"/>
      <c r="N9" s="1036"/>
      <c r="O9" s="1036"/>
    </row>
    <row r="10" spans="1:15" ht="15" customHeight="1">
      <c r="A10" s="1134"/>
      <c r="B10" s="1134"/>
      <c r="C10" s="1131"/>
      <c r="D10" s="1118"/>
      <c r="E10" s="505">
        <v>210181.93</v>
      </c>
      <c r="F10" s="33">
        <v>210181.93</v>
      </c>
      <c r="G10" s="33">
        <v>37090.93</v>
      </c>
      <c r="H10" s="35">
        <v>37090.93</v>
      </c>
      <c r="I10" s="790"/>
      <c r="J10" s="1036"/>
      <c r="K10" s="926"/>
      <c r="L10" s="1036"/>
      <c r="M10" s="1036"/>
      <c r="N10" s="1036"/>
      <c r="O10" s="1036"/>
    </row>
    <row r="11" spans="1:15" ht="15" customHeight="1">
      <c r="A11" s="1134"/>
      <c r="B11" s="1134"/>
      <c r="C11" s="1131"/>
      <c r="D11" s="1118"/>
      <c r="E11" s="505">
        <v>117923.42</v>
      </c>
      <c r="F11" s="33">
        <v>117923.42</v>
      </c>
      <c r="G11" s="33">
        <v>20810.03</v>
      </c>
      <c r="H11" s="35">
        <v>20810.01</v>
      </c>
      <c r="I11" s="790"/>
      <c r="J11" s="1036"/>
      <c r="K11" s="926"/>
      <c r="L11" s="1036"/>
      <c r="M11" s="1036"/>
      <c r="N11" s="1036"/>
      <c r="O11" s="1036"/>
    </row>
    <row r="12" spans="1:15" ht="15" customHeight="1">
      <c r="A12" s="1067"/>
      <c r="B12" s="1067"/>
      <c r="C12" s="1144"/>
      <c r="D12" s="1145"/>
      <c r="E12" s="505">
        <v>70074.76</v>
      </c>
      <c r="F12" s="33">
        <v>70074.76</v>
      </c>
      <c r="G12" s="33">
        <v>12366.15</v>
      </c>
      <c r="H12" s="35">
        <v>12366.14</v>
      </c>
      <c r="I12" s="926"/>
      <c r="J12" s="926"/>
      <c r="K12" s="926"/>
      <c r="L12" s="926"/>
      <c r="M12" s="926"/>
      <c r="N12" s="1127"/>
      <c r="O12" s="1127"/>
    </row>
    <row r="13" spans="1:15" ht="15" customHeight="1" thickBot="1">
      <c r="A13" s="1128"/>
      <c r="B13" s="1128"/>
      <c r="C13" s="1146"/>
      <c r="D13" s="1147"/>
      <c r="E13" s="45">
        <v>83741.45000000001</v>
      </c>
      <c r="F13" s="31">
        <v>83741.45000000001</v>
      </c>
      <c r="G13" s="31">
        <v>14777.87</v>
      </c>
      <c r="H13" s="32">
        <v>14777.900000000001</v>
      </c>
      <c r="I13" s="1157"/>
      <c r="J13" s="1157"/>
      <c r="K13" s="1157"/>
      <c r="L13" s="1157"/>
      <c r="M13" s="925"/>
      <c r="N13" s="1157"/>
      <c r="O13" s="1157"/>
    </row>
    <row r="14" spans="1:15" ht="15" customHeight="1">
      <c r="A14" s="1133" t="s">
        <v>103</v>
      </c>
      <c r="B14" s="1133" t="s">
        <v>104</v>
      </c>
      <c r="C14" s="61">
        <v>1686964.9</v>
      </c>
      <c r="D14" s="80">
        <v>297699.72</v>
      </c>
      <c r="E14" s="25">
        <f>9297955.25/30.126</f>
        <v>308635.57226316136</v>
      </c>
      <c r="F14" s="19">
        <f>9297955.25/30.126</f>
        <v>308635.57226316136</v>
      </c>
      <c r="G14" s="19">
        <f>1640815.63/30.126</f>
        <v>54465.10090951337</v>
      </c>
      <c r="H14" s="20">
        <f>1640815.63/30.126</f>
        <v>54465.10090951337</v>
      </c>
      <c r="I14" s="789">
        <f>SUM(E14:H21)</f>
        <v>1984664.6263453492</v>
      </c>
      <c r="J14" s="1035">
        <f>I14/C15*100</f>
        <v>100.00000031971898</v>
      </c>
      <c r="K14" s="1035">
        <f>1280554.35+78991+4412+4411+66791+66790</f>
        <v>1501949.35</v>
      </c>
      <c r="L14" s="1035">
        <f>K14/C14*100</f>
        <v>89.03263784563627</v>
      </c>
      <c r="M14" s="1035">
        <f>1356920.62+66790+66791</f>
        <v>1490501.62</v>
      </c>
      <c r="N14" s="1035">
        <f>M14/C14*100</f>
        <v>88.35403866434922</v>
      </c>
      <c r="O14" s="1035">
        <f>K14/SUM(E14:F21)*100</f>
        <v>89.03263760675138</v>
      </c>
    </row>
    <row r="15" spans="1:15" ht="15" customHeight="1">
      <c r="A15" s="1134"/>
      <c r="B15" s="1134"/>
      <c r="C15" s="1129">
        <f>C14+D14</f>
        <v>1984664.6199999999</v>
      </c>
      <c r="D15" s="1130"/>
      <c r="E15" s="34">
        <v>726.52</v>
      </c>
      <c r="F15" s="33">
        <v>726.52</v>
      </c>
      <c r="G15" s="33">
        <v>128.21</v>
      </c>
      <c r="H15" s="35">
        <v>128.21</v>
      </c>
      <c r="I15" s="790"/>
      <c r="J15" s="1036"/>
      <c r="K15" s="1036"/>
      <c r="L15" s="1036"/>
      <c r="M15" s="1036"/>
      <c r="N15" s="1036"/>
      <c r="O15" s="1036"/>
    </row>
    <row r="16" spans="1:15" ht="15" customHeight="1">
      <c r="A16" s="1134"/>
      <c r="B16" s="1134"/>
      <c r="C16" s="1131"/>
      <c r="D16" s="1118"/>
      <c r="E16" s="34">
        <v>32715.1</v>
      </c>
      <c r="F16" s="33">
        <v>32715.1</v>
      </c>
      <c r="G16" s="33">
        <v>5773.25</v>
      </c>
      <c r="H16" s="35">
        <v>5773.25</v>
      </c>
      <c r="I16" s="790"/>
      <c r="J16" s="1036"/>
      <c r="K16" s="1036"/>
      <c r="L16" s="1036"/>
      <c r="M16" s="1036"/>
      <c r="N16" s="1036"/>
      <c r="O16" s="1036"/>
    </row>
    <row r="17" spans="1:15" ht="15" customHeight="1">
      <c r="A17" s="1134"/>
      <c r="B17" s="1134"/>
      <c r="C17" s="1131"/>
      <c r="D17" s="1118"/>
      <c r="E17" s="34">
        <v>88249.73999999999</v>
      </c>
      <c r="F17" s="33">
        <v>88249.73999999999</v>
      </c>
      <c r="G17" s="33">
        <v>15573.48</v>
      </c>
      <c r="H17" s="35">
        <v>15573.48</v>
      </c>
      <c r="I17" s="790"/>
      <c r="J17" s="1036"/>
      <c r="K17" s="1036"/>
      <c r="L17" s="1036"/>
      <c r="M17" s="1036"/>
      <c r="N17" s="1036"/>
      <c r="O17" s="1036"/>
    </row>
    <row r="18" spans="1:15" ht="15" customHeight="1">
      <c r="A18" s="1134"/>
      <c r="B18" s="1134"/>
      <c r="C18" s="1131"/>
      <c r="D18" s="1118"/>
      <c r="E18" s="34">
        <v>112937.91</v>
      </c>
      <c r="F18" s="33">
        <v>112937.91</v>
      </c>
      <c r="G18" s="33">
        <v>19930.22</v>
      </c>
      <c r="H18" s="35">
        <v>19930.22</v>
      </c>
      <c r="I18" s="790"/>
      <c r="J18" s="1036"/>
      <c r="K18" s="1036"/>
      <c r="L18" s="1036"/>
      <c r="M18" s="1036"/>
      <c r="N18" s="1036"/>
      <c r="O18" s="1036"/>
    </row>
    <row r="19" spans="1:15" ht="15" customHeight="1">
      <c r="A19" s="1134"/>
      <c r="B19" s="1134"/>
      <c r="C19" s="1131"/>
      <c r="D19" s="1118"/>
      <c r="E19" s="34">
        <v>78687.91</v>
      </c>
      <c r="F19" s="33">
        <v>78687.91</v>
      </c>
      <c r="G19" s="33">
        <v>13886.12</v>
      </c>
      <c r="H19" s="35">
        <v>13886.11</v>
      </c>
      <c r="I19" s="790"/>
      <c r="J19" s="1036"/>
      <c r="K19" s="1036"/>
      <c r="L19" s="1036"/>
      <c r="M19" s="1036"/>
      <c r="N19" s="1036"/>
      <c r="O19" s="1036"/>
    </row>
    <row r="20" spans="1:15" ht="15" customHeight="1">
      <c r="A20" s="1134"/>
      <c r="B20" s="1134"/>
      <c r="C20" s="1131"/>
      <c r="D20" s="1118"/>
      <c r="E20" s="34">
        <v>178862.9</v>
      </c>
      <c r="F20" s="33">
        <v>178862.9</v>
      </c>
      <c r="G20" s="33">
        <v>31564.05</v>
      </c>
      <c r="H20" s="35">
        <v>31564.04</v>
      </c>
      <c r="I20" s="790"/>
      <c r="J20" s="1036"/>
      <c r="K20" s="1036"/>
      <c r="L20" s="1036"/>
      <c r="M20" s="1036"/>
      <c r="N20" s="1036"/>
      <c r="O20" s="1036"/>
    </row>
    <row r="21" spans="1:15" ht="15" customHeight="1" thickBot="1">
      <c r="A21" s="1090"/>
      <c r="B21" s="1090"/>
      <c r="C21" s="1102"/>
      <c r="D21" s="1103"/>
      <c r="E21" s="30">
        <v>42666.8</v>
      </c>
      <c r="F21" s="31">
        <v>42666.8</v>
      </c>
      <c r="G21" s="31">
        <v>7529.43</v>
      </c>
      <c r="H21" s="32">
        <v>7529.45</v>
      </c>
      <c r="I21" s="766"/>
      <c r="J21" s="1027"/>
      <c r="K21" s="1027"/>
      <c r="L21" s="1027"/>
      <c r="M21" s="1027"/>
      <c r="N21" s="1027"/>
      <c r="O21" s="1027"/>
    </row>
    <row r="22" spans="1:15" ht="15" customHeight="1">
      <c r="A22" s="1133" t="s">
        <v>276</v>
      </c>
      <c r="B22" s="1133" t="s">
        <v>105</v>
      </c>
      <c r="C22" s="61">
        <v>1686964.84</v>
      </c>
      <c r="D22" s="80">
        <v>297699.7</v>
      </c>
      <c r="E22" s="25">
        <v>335756.49</v>
      </c>
      <c r="F22" s="19">
        <v>335756.49</v>
      </c>
      <c r="G22" s="19">
        <v>59251.15</v>
      </c>
      <c r="H22" s="20">
        <v>59251.15</v>
      </c>
      <c r="I22" s="789">
        <f>SUM(E22:H27)</f>
        <v>1984664.54</v>
      </c>
      <c r="J22" s="1035">
        <f>I22/C23*100</f>
        <v>100</v>
      </c>
      <c r="K22" s="1035">
        <f>1326395.28+88235+86407</f>
        <v>1501037.28</v>
      </c>
      <c r="L22" s="1035">
        <f>K22/C22*100</f>
        <v>88.97857527368501</v>
      </c>
      <c r="M22" s="1035">
        <v>1500000</v>
      </c>
      <c r="N22" s="1035">
        <f>M22/C22*100</f>
        <v>88.91708732945494</v>
      </c>
      <c r="O22" s="1035">
        <f>K22/SUM(E22:F27)*100</f>
        <v>88.97857527368502</v>
      </c>
    </row>
    <row r="23" spans="1:15" ht="15" customHeight="1">
      <c r="A23" s="1134"/>
      <c r="B23" s="1134"/>
      <c r="C23" s="1129">
        <f>C22+D22</f>
        <v>1984664.54</v>
      </c>
      <c r="D23" s="1130"/>
      <c r="E23" s="34">
        <v>4687.64</v>
      </c>
      <c r="F23" s="33">
        <v>4687.64</v>
      </c>
      <c r="G23" s="33">
        <v>827.23</v>
      </c>
      <c r="H23" s="35">
        <v>827.23</v>
      </c>
      <c r="I23" s="790"/>
      <c r="J23" s="1036"/>
      <c r="K23" s="1036"/>
      <c r="L23" s="1036"/>
      <c r="M23" s="1036"/>
      <c r="N23" s="1036"/>
      <c r="O23" s="1036"/>
    </row>
    <row r="24" spans="1:15" ht="15" customHeight="1">
      <c r="A24" s="1134"/>
      <c r="B24" s="1134"/>
      <c r="C24" s="1131"/>
      <c r="D24" s="1118"/>
      <c r="E24" s="34">
        <v>85000</v>
      </c>
      <c r="F24" s="33">
        <v>85000</v>
      </c>
      <c r="G24" s="33">
        <v>15000</v>
      </c>
      <c r="H24" s="35">
        <v>15000</v>
      </c>
      <c r="I24" s="790"/>
      <c r="J24" s="1036"/>
      <c r="K24" s="1036"/>
      <c r="L24" s="1036"/>
      <c r="M24" s="1036"/>
      <c r="N24" s="1036"/>
      <c r="O24" s="1036"/>
    </row>
    <row r="25" spans="1:15" ht="15" customHeight="1">
      <c r="A25" s="1134"/>
      <c r="B25" s="1134"/>
      <c r="C25" s="1131"/>
      <c r="D25" s="1118"/>
      <c r="E25" s="34">
        <v>19360.84</v>
      </c>
      <c r="F25" s="33">
        <v>19360.84</v>
      </c>
      <c r="G25" s="33">
        <v>3416.61</v>
      </c>
      <c r="H25" s="35">
        <v>3416.62</v>
      </c>
      <c r="I25" s="790"/>
      <c r="J25" s="1036"/>
      <c r="K25" s="1036"/>
      <c r="L25" s="1036"/>
      <c r="M25" s="1036"/>
      <c r="N25" s="1036"/>
      <c r="O25" s="1036"/>
    </row>
    <row r="26" spans="1:15" ht="15" customHeight="1">
      <c r="A26" s="1134"/>
      <c r="B26" s="1134"/>
      <c r="C26" s="1131"/>
      <c r="D26" s="1118"/>
      <c r="E26" s="34">
        <v>238565.67</v>
      </c>
      <c r="F26" s="33">
        <v>238565.67</v>
      </c>
      <c r="G26" s="33">
        <v>42099.83</v>
      </c>
      <c r="H26" s="35">
        <v>42099.83</v>
      </c>
      <c r="I26" s="790"/>
      <c r="J26" s="1036"/>
      <c r="K26" s="1036"/>
      <c r="L26" s="1036"/>
      <c r="M26" s="1036"/>
      <c r="N26" s="1036"/>
      <c r="O26" s="1036"/>
    </row>
    <row r="27" spans="1:15" ht="15" customHeight="1" thickBot="1">
      <c r="A27" s="1128"/>
      <c r="B27" s="1128"/>
      <c r="C27" s="1146"/>
      <c r="D27" s="1147"/>
      <c r="E27" s="30">
        <v>160111.78</v>
      </c>
      <c r="F27" s="31">
        <v>160111.78</v>
      </c>
      <c r="G27" s="31">
        <v>28255.03</v>
      </c>
      <c r="H27" s="29">
        <v>28255.02</v>
      </c>
      <c r="I27" s="1157"/>
      <c r="J27" s="1157"/>
      <c r="K27" s="1157"/>
      <c r="L27" s="1157"/>
      <c r="M27" s="793"/>
      <c r="N27" s="1157"/>
      <c r="O27" s="1157"/>
    </row>
    <row r="28" spans="1:15" ht="15" customHeight="1">
      <c r="A28" s="1133" t="s">
        <v>277</v>
      </c>
      <c r="B28" s="1133" t="s">
        <v>278</v>
      </c>
      <c r="C28" s="61">
        <v>921278.45</v>
      </c>
      <c r="D28" s="80">
        <v>162578.55</v>
      </c>
      <c r="E28" s="25">
        <v>367241.71</v>
      </c>
      <c r="F28" s="19">
        <v>0</v>
      </c>
      <c r="G28" s="19">
        <v>64807.36075151032</v>
      </c>
      <c r="H28" s="17">
        <v>0</v>
      </c>
      <c r="I28" s="789">
        <f>SUM(E28:H31)</f>
        <v>1021124.9807515102</v>
      </c>
      <c r="J28" s="1035">
        <f>I28/C29*100</f>
        <v>94.2121498270999</v>
      </c>
      <c r="K28" s="1035">
        <f>325414.14+255811+196699</f>
        <v>777924.14</v>
      </c>
      <c r="L28" s="1035">
        <f>K28/SUM(C28)*100</f>
        <v>84.43963277334883</v>
      </c>
      <c r="M28" s="1035">
        <f>325304+255811+196699</f>
        <v>777814</v>
      </c>
      <c r="N28" s="1035">
        <f>M28/C28*100</f>
        <v>84.42767764729545</v>
      </c>
      <c r="O28" s="1035">
        <f>K28/SUM(E28:F31)*100</f>
        <v>89.62711633511749</v>
      </c>
    </row>
    <row r="29" spans="1:15" ht="15" customHeight="1">
      <c r="A29" s="1134"/>
      <c r="B29" s="1134"/>
      <c r="C29" s="1129">
        <v>1083857</v>
      </c>
      <c r="D29" s="1130"/>
      <c r="E29" s="34">
        <v>253854</v>
      </c>
      <c r="F29" s="33">
        <v>0</v>
      </c>
      <c r="G29" s="33">
        <v>44797.77</v>
      </c>
      <c r="H29" s="35">
        <v>0</v>
      </c>
      <c r="I29" s="790"/>
      <c r="J29" s="1036"/>
      <c r="K29" s="1036"/>
      <c r="L29" s="1036"/>
      <c r="M29" s="1036"/>
      <c r="N29" s="1036"/>
      <c r="O29" s="1036"/>
    </row>
    <row r="30" spans="1:15" ht="15" customHeight="1">
      <c r="A30" s="1134"/>
      <c r="B30" s="1134"/>
      <c r="C30" s="1131"/>
      <c r="D30" s="1118"/>
      <c r="E30" s="34">
        <v>12634.71</v>
      </c>
      <c r="F30" s="33">
        <v>0</v>
      </c>
      <c r="G30" s="33">
        <v>2229.65</v>
      </c>
      <c r="H30" s="35">
        <v>0</v>
      </c>
      <c r="I30" s="790"/>
      <c r="J30" s="1036"/>
      <c r="K30" s="1036"/>
      <c r="L30" s="1036"/>
      <c r="M30" s="1036"/>
      <c r="N30" s="1036"/>
      <c r="O30" s="1036"/>
    </row>
    <row r="31" spans="1:15" ht="15" customHeight="1" thickBot="1">
      <c r="A31" s="1090"/>
      <c r="B31" s="1090"/>
      <c r="C31" s="1102"/>
      <c r="D31" s="1103"/>
      <c r="E31" s="30">
        <v>234225.81</v>
      </c>
      <c r="F31" s="31">
        <v>0</v>
      </c>
      <c r="G31" s="31">
        <v>41333.97</v>
      </c>
      <c r="H31" s="29">
        <v>0</v>
      </c>
      <c r="I31" s="766"/>
      <c r="J31" s="1027"/>
      <c r="K31" s="1027"/>
      <c r="L31" s="1027"/>
      <c r="M31" s="1027"/>
      <c r="N31" s="1027"/>
      <c r="O31" s="1027"/>
    </row>
    <row r="32" spans="1:15" ht="18" customHeight="1">
      <c r="A32" s="1133" t="s">
        <v>106</v>
      </c>
      <c r="B32" s="1133" t="s">
        <v>107</v>
      </c>
      <c r="C32" s="61">
        <v>2239925.56</v>
      </c>
      <c r="D32" s="80">
        <v>395280.98</v>
      </c>
      <c r="E32" s="25">
        <v>313850.49</v>
      </c>
      <c r="F32" s="19">
        <v>313850.49</v>
      </c>
      <c r="G32" s="19">
        <v>55385.38</v>
      </c>
      <c r="H32" s="20">
        <v>55385.38</v>
      </c>
      <c r="I32" s="789">
        <f>SUM(E32:H41)</f>
        <v>2610096.669999999</v>
      </c>
      <c r="J32" s="1035">
        <f>I32/C33*100</f>
        <v>99.04713844555042</v>
      </c>
      <c r="K32" s="1035">
        <f>1034469.86+228099+260756+228529+120866*2</f>
        <v>1993585.8599999999</v>
      </c>
      <c r="L32" s="1035">
        <f>K32/C32*100</f>
        <v>89.00232648802846</v>
      </c>
      <c r="M32" s="1035">
        <f>1518559.10595499+114264+114265+120866*2</f>
        <v>1988820.10595499</v>
      </c>
      <c r="N32" s="1035">
        <f>M32/C32*100</f>
        <v>88.7895625404172</v>
      </c>
      <c r="O32" s="1035">
        <f>K32/SUM(E32:F41)*100</f>
        <v>89.85855776857267</v>
      </c>
    </row>
    <row r="33" spans="1:15" ht="18" customHeight="1">
      <c r="A33" s="1134"/>
      <c r="B33" s="1134"/>
      <c r="C33" s="1129">
        <f>C32+D32</f>
        <v>2635206.54</v>
      </c>
      <c r="D33" s="1130"/>
      <c r="E33" s="34">
        <v>7219.34</v>
      </c>
      <c r="F33" s="33">
        <v>7219.34</v>
      </c>
      <c r="G33" s="33">
        <v>1274.01</v>
      </c>
      <c r="H33" s="35">
        <v>1274.01</v>
      </c>
      <c r="I33" s="790"/>
      <c r="J33" s="1036"/>
      <c r="K33" s="1036"/>
      <c r="L33" s="1036"/>
      <c r="M33" s="1036"/>
      <c r="N33" s="1036"/>
      <c r="O33" s="1036"/>
    </row>
    <row r="34" spans="1:15" ht="18" customHeight="1">
      <c r="A34" s="1134"/>
      <c r="B34" s="1134"/>
      <c r="C34" s="1131"/>
      <c r="D34" s="1118"/>
      <c r="E34" s="34">
        <v>184541.37</v>
      </c>
      <c r="F34" s="33">
        <v>184541.37</v>
      </c>
      <c r="G34" s="33">
        <v>32566.13</v>
      </c>
      <c r="H34" s="35">
        <v>32566.13</v>
      </c>
      <c r="I34" s="790"/>
      <c r="J34" s="1036"/>
      <c r="K34" s="1036"/>
      <c r="L34" s="1036"/>
      <c r="M34" s="1036"/>
      <c r="N34" s="1036"/>
      <c r="O34" s="1036"/>
    </row>
    <row r="35" spans="1:15" ht="18" customHeight="1">
      <c r="A35" s="1134"/>
      <c r="B35" s="1134"/>
      <c r="C35" s="1131"/>
      <c r="D35" s="1118"/>
      <c r="E35" s="30">
        <v>82897.97</v>
      </c>
      <c r="F35" s="31">
        <v>82897.97</v>
      </c>
      <c r="G35" s="31">
        <v>14629.06</v>
      </c>
      <c r="H35" s="32">
        <v>14629.06</v>
      </c>
      <c r="I35" s="790"/>
      <c r="J35" s="1036"/>
      <c r="K35" s="1036"/>
      <c r="L35" s="1036"/>
      <c r="M35" s="1036"/>
      <c r="N35" s="1036"/>
      <c r="O35" s="1036"/>
    </row>
    <row r="36" spans="1:15" ht="18" customHeight="1">
      <c r="A36" s="1134"/>
      <c r="B36" s="1134"/>
      <c r="C36" s="1131"/>
      <c r="D36" s="1118"/>
      <c r="E36" s="34">
        <v>218169.59</v>
      </c>
      <c r="F36" s="33">
        <v>218169.59</v>
      </c>
      <c r="G36" s="33">
        <v>38500.54</v>
      </c>
      <c r="H36" s="35">
        <v>38500.520000000004</v>
      </c>
      <c r="I36" s="790"/>
      <c r="J36" s="1036"/>
      <c r="K36" s="1036"/>
      <c r="L36" s="1036"/>
      <c r="M36" s="1036"/>
      <c r="N36" s="1036"/>
      <c r="O36" s="1036"/>
    </row>
    <row r="37" spans="1:15" ht="18" customHeight="1">
      <c r="A37" s="1134"/>
      <c r="B37" s="1134"/>
      <c r="C37" s="1131"/>
      <c r="D37" s="1118"/>
      <c r="E37" s="34">
        <v>116047.43</v>
      </c>
      <c r="F37" s="33">
        <v>116047.43</v>
      </c>
      <c r="G37" s="33">
        <v>20478.98</v>
      </c>
      <c r="H37" s="35">
        <v>20478.960000000003</v>
      </c>
      <c r="I37" s="790"/>
      <c r="J37" s="1036"/>
      <c r="K37" s="1036"/>
      <c r="L37" s="1036"/>
      <c r="M37" s="1036"/>
      <c r="N37" s="1036"/>
      <c r="O37" s="1036"/>
    </row>
    <row r="38" spans="1:15" ht="18" customHeight="1">
      <c r="A38" s="1134"/>
      <c r="B38" s="1134"/>
      <c r="C38" s="1131"/>
      <c r="D38" s="1118"/>
      <c r="E38" s="34">
        <v>51004.64</v>
      </c>
      <c r="F38" s="33">
        <v>51004.64</v>
      </c>
      <c r="G38" s="33">
        <v>9000.83</v>
      </c>
      <c r="H38" s="35">
        <v>9000.82</v>
      </c>
      <c r="I38" s="790"/>
      <c r="J38" s="1036"/>
      <c r="K38" s="1036"/>
      <c r="L38" s="1036"/>
      <c r="M38" s="1036"/>
      <c r="N38" s="1036"/>
      <c r="O38" s="1036"/>
    </row>
    <row r="39" spans="1:15" ht="18" customHeight="1">
      <c r="A39" s="1067"/>
      <c r="B39" s="1067"/>
      <c r="C39" s="1144"/>
      <c r="D39" s="1145"/>
      <c r="E39" s="34">
        <v>29680.13</v>
      </c>
      <c r="F39" s="33">
        <v>29680.13</v>
      </c>
      <c r="G39" s="33">
        <v>5237.69</v>
      </c>
      <c r="H39" s="35">
        <v>5237.67</v>
      </c>
      <c r="I39" s="926"/>
      <c r="J39" s="926"/>
      <c r="K39" s="926"/>
      <c r="L39" s="926"/>
      <c r="M39" s="926"/>
      <c r="N39" s="1127"/>
      <c r="O39" s="1127"/>
    </row>
    <row r="40" spans="1:15" ht="20.25" customHeight="1">
      <c r="A40" s="1067"/>
      <c r="B40" s="1067"/>
      <c r="C40" s="1144"/>
      <c r="D40" s="1145"/>
      <c r="E40" s="12">
        <v>105463.32</v>
      </c>
      <c r="F40" s="11">
        <v>105463.32</v>
      </c>
      <c r="G40" s="11">
        <v>18611.17</v>
      </c>
      <c r="H40" s="13">
        <v>18611.17</v>
      </c>
      <c r="I40" s="1127"/>
      <c r="J40" s="1127"/>
      <c r="K40" s="1127"/>
      <c r="L40" s="1127"/>
      <c r="M40" s="1127"/>
      <c r="N40" s="1127"/>
      <c r="O40" s="1127"/>
    </row>
    <row r="41" spans="1:15" ht="20.25" customHeight="1" thickBot="1">
      <c r="A41" s="1128"/>
      <c r="B41" s="1128"/>
      <c r="C41" s="1146"/>
      <c r="D41" s="1147"/>
      <c r="E41" s="14">
        <v>416.76</v>
      </c>
      <c r="F41" s="15">
        <v>416.76</v>
      </c>
      <c r="G41" s="15">
        <v>73.54</v>
      </c>
      <c r="H41" s="16">
        <v>73.54</v>
      </c>
      <c r="I41" s="1157"/>
      <c r="J41" s="1157"/>
      <c r="K41" s="1157"/>
      <c r="L41" s="1157"/>
      <c r="M41" s="1157"/>
      <c r="N41" s="1157"/>
      <c r="O41" s="1157"/>
    </row>
    <row r="42" spans="1:15" ht="23.25" customHeight="1">
      <c r="A42" s="1133" t="s">
        <v>108</v>
      </c>
      <c r="B42" s="1133" t="s">
        <v>109</v>
      </c>
      <c r="C42" s="61">
        <f>10149600/30.126</f>
        <v>336904.9990041824</v>
      </c>
      <c r="D42" s="80">
        <f>1791099.91/30.126</f>
        <v>59453.62510788023</v>
      </c>
      <c r="E42" s="25">
        <v>139953.54</v>
      </c>
      <c r="F42" s="19">
        <v>139953.54</v>
      </c>
      <c r="G42" s="19">
        <v>15787.05</v>
      </c>
      <c r="H42" s="20">
        <v>15787.05</v>
      </c>
      <c r="I42" s="789">
        <f>SUM(E42:H44)</f>
        <v>391044.84</v>
      </c>
      <c r="J42" s="1035">
        <f>I42/C43*100</f>
        <v>98.65934944042993</v>
      </c>
      <c r="K42" s="1035">
        <f>SUM('[2]PIR'!$E$53:$F$55)/30.126</f>
        <v>263002.42576914857</v>
      </c>
      <c r="L42" s="1035">
        <f>K42/C42*100</f>
        <v>78.06426931821323</v>
      </c>
      <c r="M42" s="1035">
        <v>293725.8</v>
      </c>
      <c r="N42" s="1035">
        <f>M42/C42*100</f>
        <v>87.18356832584536</v>
      </c>
      <c r="O42" s="1035">
        <f>K42/SUM(E42:F44)*100</f>
        <v>79.1250980237045</v>
      </c>
    </row>
    <row r="43" spans="1:15" ht="22.5" customHeight="1">
      <c r="A43" s="1134"/>
      <c r="B43" s="1134"/>
      <c r="C43" s="1129">
        <f>C42+D42</f>
        <v>396358.6241120626</v>
      </c>
      <c r="D43" s="797"/>
      <c r="E43" s="49">
        <v>579.18</v>
      </c>
      <c r="F43" s="22">
        <v>579.18</v>
      </c>
      <c r="G43" s="22">
        <v>102.21</v>
      </c>
      <c r="H43" s="23">
        <v>102.21</v>
      </c>
      <c r="I43" s="790"/>
      <c r="J43" s="1036"/>
      <c r="K43" s="1036"/>
      <c r="L43" s="1036"/>
      <c r="M43" s="1036"/>
      <c r="N43" s="1036"/>
      <c r="O43" s="1036"/>
    </row>
    <row r="44" spans="1:15" ht="27" customHeight="1" thickBot="1">
      <c r="A44" s="1128"/>
      <c r="B44" s="1128"/>
      <c r="C44" s="798"/>
      <c r="D44" s="799"/>
      <c r="E44" s="26">
        <v>25661.34</v>
      </c>
      <c r="F44" s="27">
        <v>25661.34</v>
      </c>
      <c r="G44" s="27">
        <v>13439.1</v>
      </c>
      <c r="H44" s="28">
        <v>13439.1</v>
      </c>
      <c r="I44" s="766"/>
      <c r="J44" s="1027"/>
      <c r="K44" s="1027"/>
      <c r="L44" s="1027"/>
      <c r="M44" s="1027"/>
      <c r="N44" s="1027"/>
      <c r="O44" s="1027"/>
    </row>
    <row r="45" spans="1:15" ht="18.75" customHeight="1">
      <c r="A45" s="1133" t="s">
        <v>279</v>
      </c>
      <c r="B45" s="1133" t="s">
        <v>280</v>
      </c>
      <c r="C45" s="61">
        <f>59014670.31/30.126</f>
        <v>1958928.1786496714</v>
      </c>
      <c r="D45" s="80">
        <f>10414353.58/30.126</f>
        <v>345693.20786032</v>
      </c>
      <c r="E45" s="25">
        <v>0</v>
      </c>
      <c r="F45" s="19">
        <f>232913.45+78357.13</f>
        <v>311270.58</v>
      </c>
      <c r="G45" s="19">
        <v>0</v>
      </c>
      <c r="H45" s="20">
        <f>41102.38+13827.73</f>
        <v>54930.11</v>
      </c>
      <c r="I45" s="789">
        <f>SUM(E45:H52)</f>
        <v>2304621.39</v>
      </c>
      <c r="J45" s="1035">
        <f>I45/C46*100</f>
        <v>100.00000015143524</v>
      </c>
      <c r="K45" s="1160">
        <f>930555.87+360809+420550</f>
        <v>1711914.87</v>
      </c>
      <c r="L45" s="1035">
        <f>K45/C45*100</f>
        <v>87.39038463268508</v>
      </c>
      <c r="M45" s="1160">
        <f>657191+273122+360809+420550</f>
        <v>1711672</v>
      </c>
      <c r="N45" s="1035">
        <f>M45/C45*100</f>
        <v>87.37798652627939</v>
      </c>
      <c r="O45" s="1035">
        <f>K45/SUM(E45:F52)*100</f>
        <v>87.39038457244513</v>
      </c>
    </row>
    <row r="46" spans="1:15" ht="18.75" customHeight="1">
      <c r="A46" s="1134"/>
      <c r="B46" s="1134"/>
      <c r="C46" s="1129">
        <f>C45+D45</f>
        <v>2304621.3865099913</v>
      </c>
      <c r="D46" s="1130"/>
      <c r="E46" s="49">
        <v>0</v>
      </c>
      <c r="F46" s="22">
        <v>21302.87</v>
      </c>
      <c r="G46" s="22">
        <v>0</v>
      </c>
      <c r="H46" s="23">
        <v>3759.33</v>
      </c>
      <c r="I46" s="790"/>
      <c r="J46" s="1036"/>
      <c r="K46" s="1161"/>
      <c r="L46" s="1036"/>
      <c r="M46" s="1161"/>
      <c r="N46" s="1036"/>
      <c r="O46" s="1036"/>
    </row>
    <row r="47" spans="1:15" ht="18.75" customHeight="1">
      <c r="A47" s="1134"/>
      <c r="B47" s="1134"/>
      <c r="C47" s="1131"/>
      <c r="D47" s="1118"/>
      <c r="E47" s="34">
        <v>0</v>
      </c>
      <c r="F47" s="33">
        <v>602879.17</v>
      </c>
      <c r="G47" s="33">
        <v>0</v>
      </c>
      <c r="H47" s="35">
        <v>106390.45</v>
      </c>
      <c r="I47" s="790"/>
      <c r="J47" s="1036"/>
      <c r="K47" s="1161"/>
      <c r="L47" s="1036"/>
      <c r="M47" s="1161"/>
      <c r="N47" s="1036"/>
      <c r="O47" s="1036"/>
    </row>
    <row r="48" spans="1:15" ht="18.75" customHeight="1">
      <c r="A48" s="1134"/>
      <c r="B48" s="1134"/>
      <c r="C48" s="1131"/>
      <c r="D48" s="1118"/>
      <c r="E48" s="30">
        <v>0</v>
      </c>
      <c r="F48" s="31">
        <v>176076.19</v>
      </c>
      <c r="G48" s="31">
        <v>0</v>
      </c>
      <c r="H48" s="29">
        <v>31072.27</v>
      </c>
      <c r="I48" s="790"/>
      <c r="J48" s="1036"/>
      <c r="K48" s="1161"/>
      <c r="L48" s="1036"/>
      <c r="M48" s="1161"/>
      <c r="N48" s="1036"/>
      <c r="O48" s="1036"/>
    </row>
    <row r="49" spans="1:15" ht="18.75" customHeight="1">
      <c r="A49" s="1134"/>
      <c r="B49" s="1134"/>
      <c r="C49" s="1131"/>
      <c r="D49" s="1118"/>
      <c r="E49" s="34">
        <v>0</v>
      </c>
      <c r="F49" s="33">
        <v>193294.52000000002</v>
      </c>
      <c r="G49" s="33">
        <v>0</v>
      </c>
      <c r="H49" s="35">
        <v>34110.8</v>
      </c>
      <c r="I49" s="790"/>
      <c r="J49" s="1036"/>
      <c r="K49" s="1161"/>
      <c r="L49" s="1036"/>
      <c r="M49" s="1161"/>
      <c r="N49" s="1036"/>
      <c r="O49" s="1036"/>
    </row>
    <row r="50" spans="1:15" ht="18.75" customHeight="1">
      <c r="A50" s="1134"/>
      <c r="B50" s="1134"/>
      <c r="C50" s="1131"/>
      <c r="D50" s="1118"/>
      <c r="E50" s="34">
        <v>0</v>
      </c>
      <c r="F50" s="33">
        <v>136180.57</v>
      </c>
      <c r="G50" s="33">
        <v>0</v>
      </c>
      <c r="H50" s="35">
        <v>24031.870000000003</v>
      </c>
      <c r="I50" s="790"/>
      <c r="J50" s="1036"/>
      <c r="K50" s="1161"/>
      <c r="L50" s="1036"/>
      <c r="M50" s="1161"/>
      <c r="N50" s="1036"/>
      <c r="O50" s="1036"/>
    </row>
    <row r="51" spans="1:15" ht="18.75" customHeight="1">
      <c r="A51" s="1134"/>
      <c r="B51" s="1134"/>
      <c r="C51" s="1131"/>
      <c r="D51" s="1118"/>
      <c r="E51" s="34">
        <v>0</v>
      </c>
      <c r="F51" s="33">
        <v>188376.52</v>
      </c>
      <c r="G51" s="33">
        <v>0</v>
      </c>
      <c r="H51" s="35">
        <v>33242.92</v>
      </c>
      <c r="I51" s="790"/>
      <c r="J51" s="1036"/>
      <c r="K51" s="1161"/>
      <c r="L51" s="1036"/>
      <c r="M51" s="1161"/>
      <c r="N51" s="1036"/>
      <c r="O51" s="1036"/>
    </row>
    <row r="52" spans="1:15" ht="18.75" customHeight="1" thickBot="1">
      <c r="A52" s="1090"/>
      <c r="B52" s="1090"/>
      <c r="C52" s="1102"/>
      <c r="D52" s="1103"/>
      <c r="E52" s="30">
        <v>0</v>
      </c>
      <c r="F52" s="31">
        <v>329547.76</v>
      </c>
      <c r="G52" s="31">
        <v>0</v>
      </c>
      <c r="H52" s="32">
        <v>58155.46</v>
      </c>
      <c r="I52" s="766"/>
      <c r="J52" s="1027"/>
      <c r="K52" s="1126"/>
      <c r="L52" s="1027"/>
      <c r="M52" s="1126"/>
      <c r="N52" s="1027"/>
      <c r="O52" s="1027"/>
    </row>
    <row r="53" spans="1:15" ht="19.5" customHeight="1">
      <c r="A53" s="1133" t="s">
        <v>110</v>
      </c>
      <c r="B53" s="690" t="s">
        <v>111</v>
      </c>
      <c r="C53" s="342">
        <v>2872276.26</v>
      </c>
      <c r="D53" s="343">
        <v>506872.28</v>
      </c>
      <c r="E53" s="25">
        <v>31036.31</v>
      </c>
      <c r="F53" s="19">
        <v>31036.31</v>
      </c>
      <c r="G53" s="19">
        <v>5477</v>
      </c>
      <c r="H53" s="20">
        <v>5477</v>
      </c>
      <c r="I53" s="789">
        <f>SUM(E53:H61)</f>
        <v>3378160.8799999994</v>
      </c>
      <c r="J53" s="1035">
        <f>I53/C54*100</f>
        <v>99.97077192706064</v>
      </c>
      <c r="K53" s="1035">
        <f>372055.2*2/30.126+851382.52*2/30.126+7073+7074+683293+683294+680220+316573+112259+299+298</f>
        <v>2571604.3848502953</v>
      </c>
      <c r="L53" s="1035">
        <f>K53/C53*100</f>
        <v>89.53193049927222</v>
      </c>
      <c r="M53" s="1035">
        <f>79914+7074+7073+683293+683294+340110+340110+158287+158286+56129+56130+299+298</f>
        <v>2570297</v>
      </c>
      <c r="N53" s="1035">
        <f>M53/C53*100</f>
        <v>89.48641312099973</v>
      </c>
      <c r="O53" s="1035">
        <f>K53/SUM(E53:F61)*100</f>
        <v>89.55810688868931</v>
      </c>
    </row>
    <row r="54" spans="1:15" ht="19.5" customHeight="1">
      <c r="A54" s="1134"/>
      <c r="B54" s="691"/>
      <c r="C54" s="1129">
        <f>C53+D53</f>
        <v>3379148.54</v>
      </c>
      <c r="D54" s="1130"/>
      <c r="E54" s="34">
        <v>7412.38</v>
      </c>
      <c r="F54" s="33">
        <v>7412.38</v>
      </c>
      <c r="G54" s="33">
        <v>1308.07</v>
      </c>
      <c r="H54" s="35">
        <v>1308.07</v>
      </c>
      <c r="I54" s="790"/>
      <c r="J54" s="1036"/>
      <c r="K54" s="1036"/>
      <c r="L54" s="1036"/>
      <c r="M54" s="1036"/>
      <c r="N54" s="1036"/>
      <c r="O54" s="1036"/>
    </row>
    <row r="55" spans="1:15" ht="19.5" customHeight="1">
      <c r="A55" s="1134"/>
      <c r="B55" s="691"/>
      <c r="C55" s="1131"/>
      <c r="D55" s="1118"/>
      <c r="E55" s="34">
        <v>874603.76</v>
      </c>
      <c r="F55" s="33">
        <v>874603.76</v>
      </c>
      <c r="G55" s="33">
        <v>154341.84</v>
      </c>
      <c r="H55" s="35">
        <v>154341.84</v>
      </c>
      <c r="I55" s="790"/>
      <c r="J55" s="1036"/>
      <c r="K55" s="1036"/>
      <c r="L55" s="1036"/>
      <c r="M55" s="1036"/>
      <c r="N55" s="1036"/>
      <c r="O55" s="1036"/>
    </row>
    <row r="56" spans="1:15" ht="19.5" customHeight="1">
      <c r="A56" s="1134"/>
      <c r="B56" s="691"/>
      <c r="C56" s="1131"/>
      <c r="D56" s="1118"/>
      <c r="E56" s="30">
        <v>9775</v>
      </c>
      <c r="F56" s="31">
        <v>9775</v>
      </c>
      <c r="G56" s="31">
        <v>1725</v>
      </c>
      <c r="H56" s="32">
        <v>1725</v>
      </c>
      <c r="I56" s="790"/>
      <c r="J56" s="1036"/>
      <c r="K56" s="1036"/>
      <c r="L56" s="1036"/>
      <c r="M56" s="1036"/>
      <c r="N56" s="1036"/>
      <c r="O56" s="1036"/>
    </row>
    <row r="57" spans="1:15" ht="19.5" customHeight="1">
      <c r="A57" s="1134"/>
      <c r="B57" s="691"/>
      <c r="C57" s="1131"/>
      <c r="D57" s="1118"/>
      <c r="E57" s="34">
        <v>362996.17</v>
      </c>
      <c r="F57" s="33">
        <v>362996.17</v>
      </c>
      <c r="G57" s="33">
        <v>64058.15</v>
      </c>
      <c r="H57" s="35">
        <v>64058.15</v>
      </c>
      <c r="I57" s="790"/>
      <c r="J57" s="1036"/>
      <c r="K57" s="1036"/>
      <c r="L57" s="1036"/>
      <c r="M57" s="1036"/>
      <c r="N57" s="1036"/>
      <c r="O57" s="1036"/>
    </row>
    <row r="58" spans="1:15" ht="19.5" customHeight="1">
      <c r="A58" s="1134"/>
      <c r="B58" s="691"/>
      <c r="C58" s="1131"/>
      <c r="D58" s="1118"/>
      <c r="E58" s="34">
        <v>7650</v>
      </c>
      <c r="F58" s="33">
        <v>7650</v>
      </c>
      <c r="G58" s="33">
        <v>1350</v>
      </c>
      <c r="H58" s="35">
        <v>1350</v>
      </c>
      <c r="I58" s="790"/>
      <c r="J58" s="1036"/>
      <c r="K58" s="926"/>
      <c r="L58" s="1036"/>
      <c r="M58" s="1036"/>
      <c r="N58" s="1036"/>
      <c r="O58" s="1036"/>
    </row>
    <row r="59" spans="1:15" ht="19.5" customHeight="1">
      <c r="A59" s="1134"/>
      <c r="B59" s="691"/>
      <c r="C59" s="1131"/>
      <c r="D59" s="1118"/>
      <c r="E59" s="34">
        <v>41589.14</v>
      </c>
      <c r="F59" s="33">
        <f>E59</f>
        <v>41589.14</v>
      </c>
      <c r="G59" s="33">
        <v>7339.26</v>
      </c>
      <c r="H59" s="35">
        <v>7339.26</v>
      </c>
      <c r="I59" s="790"/>
      <c r="J59" s="1036"/>
      <c r="K59" s="926"/>
      <c r="L59" s="1036"/>
      <c r="M59" s="1036"/>
      <c r="N59" s="1036"/>
      <c r="O59" s="1036"/>
    </row>
    <row r="60" spans="1:15" ht="19.5" customHeight="1">
      <c r="A60" s="1067"/>
      <c r="B60" s="692"/>
      <c r="C60" s="1144"/>
      <c r="D60" s="1145"/>
      <c r="E60" s="34">
        <v>292.54</v>
      </c>
      <c r="F60" s="33">
        <v>292.54</v>
      </c>
      <c r="G60" s="33">
        <v>51.64</v>
      </c>
      <c r="H60" s="35">
        <v>51.63</v>
      </c>
      <c r="I60" s="1127"/>
      <c r="J60" s="1127"/>
      <c r="K60" s="1127"/>
      <c r="L60" s="1127"/>
      <c r="M60" s="1127"/>
      <c r="N60" s="1127"/>
      <c r="O60" s="1127"/>
    </row>
    <row r="61" spans="1:15" ht="19.5" customHeight="1" thickBot="1">
      <c r="A61" s="1128"/>
      <c r="B61" s="693"/>
      <c r="C61" s="1146"/>
      <c r="D61" s="1147"/>
      <c r="E61" s="14">
        <v>100363.07</v>
      </c>
      <c r="F61" s="15">
        <v>100363.07</v>
      </c>
      <c r="G61" s="15">
        <v>17711.11</v>
      </c>
      <c r="H61" s="16">
        <v>17711.12</v>
      </c>
      <c r="I61" s="1157"/>
      <c r="J61" s="1157"/>
      <c r="K61" s="1157"/>
      <c r="L61" s="1157"/>
      <c r="M61" s="1157"/>
      <c r="N61" s="1157"/>
      <c r="O61" s="1157"/>
    </row>
    <row r="62" spans="1:15" ht="15" customHeight="1" thickBot="1">
      <c r="A62" s="749" t="s">
        <v>75</v>
      </c>
      <c r="B62" s="750"/>
      <c r="C62" s="751">
        <f>C7+C15+C23+C33+C43+C54+C29+C46</f>
        <v>16211033.730622053</v>
      </c>
      <c r="D62" s="752"/>
      <c r="E62" s="507">
        <f>SUM(E6:E61)</f>
        <v>6304192.374815772</v>
      </c>
      <c r="F62" s="508">
        <f>SUM(F6:F61)</f>
        <v>7395164.3248157725</v>
      </c>
      <c r="G62" s="508">
        <f>SUM(G6:G61)</f>
        <v>1112504.656817367</v>
      </c>
      <c r="H62" s="509">
        <f>SUM(H6:H61)</f>
        <v>1305029.046065857</v>
      </c>
      <c r="I62" s="510">
        <f>SUM(I6:I60)</f>
        <v>16116890.40251477</v>
      </c>
      <c r="J62" s="511">
        <f>I62/C62*100</f>
        <v>99.41926388118328</v>
      </c>
      <c r="K62" s="512">
        <f>K6+K14+K22+K32+K42+K53+K28+K45</f>
        <v>11854374.150619444</v>
      </c>
      <c r="L62" s="512">
        <f>K62/SUM(C6+C14+C22+C32+C42+C53+C28+C45)*100</f>
        <v>86.02981551854</v>
      </c>
      <c r="M62" s="512">
        <f>SUM(M6:M60)</f>
        <v>11855922.88205935</v>
      </c>
      <c r="N62" s="512">
        <f>M62/SUM(C6+C14+C22+C32+C42+C53+C28+C45)*100</f>
        <v>86.04105500519448</v>
      </c>
      <c r="O62" s="512">
        <f>K62/(E62+F62)*100</f>
        <v>86.53234170432452</v>
      </c>
    </row>
    <row r="63" spans="1:6" ht="12.75">
      <c r="A63" t="s">
        <v>91</v>
      </c>
      <c r="E63" s="794"/>
      <c r="F63" s="795"/>
    </row>
    <row r="64" ht="12.75" hidden="1">
      <c r="A64" s="89" t="s">
        <v>77</v>
      </c>
    </row>
    <row r="65" ht="12.75" hidden="1"/>
    <row r="66" spans="1:10" ht="12.75" hidden="1">
      <c r="A66" s="89" t="s">
        <v>281</v>
      </c>
      <c r="B66" s="89"/>
      <c r="C66" s="89"/>
      <c r="D66" s="89"/>
      <c r="E66" s="89"/>
      <c r="F66" s="89"/>
      <c r="G66" s="89"/>
      <c r="H66" s="89"/>
      <c r="I66" s="89"/>
      <c r="J66" s="89"/>
    </row>
    <row r="67" spans="1:12" ht="12.75" hidden="1">
      <c r="A67" s="89" t="s">
        <v>282</v>
      </c>
      <c r="B67" s="89"/>
      <c r="C67" s="89"/>
      <c r="D67" s="89"/>
      <c r="E67" s="89"/>
      <c r="F67" s="89"/>
      <c r="G67" s="89"/>
      <c r="H67" s="89"/>
      <c r="I67" s="89"/>
      <c r="J67" s="89"/>
      <c r="K67" s="90"/>
      <c r="L67" s="90"/>
    </row>
    <row r="68" spans="2:6" ht="12.75">
      <c r="B68" s="70" t="s">
        <v>283</v>
      </c>
      <c r="C68" s="796" t="s">
        <v>284</v>
      </c>
      <c r="D68" s="796"/>
      <c r="E68" s="796"/>
      <c r="F68" s="796"/>
    </row>
    <row r="69" spans="2:7" ht="12.75">
      <c r="B69" s="70" t="s">
        <v>285</v>
      </c>
      <c r="C69" s="796" t="s">
        <v>286</v>
      </c>
      <c r="D69" s="796"/>
      <c r="E69" s="796"/>
      <c r="F69" s="796"/>
      <c r="G69" s="90"/>
    </row>
    <row r="70" spans="1:7" ht="12.75">
      <c r="A70" s="91"/>
      <c r="B70" s="70" t="s">
        <v>287</v>
      </c>
      <c r="C70" s="70" t="s">
        <v>288</v>
      </c>
      <c r="D70" s="70"/>
      <c r="E70" s="70"/>
      <c r="F70" s="71"/>
      <c r="G70" s="90"/>
    </row>
    <row r="71" spans="1:8" ht="12.75">
      <c r="A71" s="91"/>
      <c r="B71" s="70" t="s">
        <v>289</v>
      </c>
      <c r="C71" s="796" t="s">
        <v>290</v>
      </c>
      <c r="D71" s="796"/>
      <c r="E71" s="796"/>
      <c r="F71" s="796"/>
      <c r="G71" s="90"/>
      <c r="H71" s="90"/>
    </row>
    <row r="72" spans="1:16" ht="12.75">
      <c r="A72" s="91"/>
      <c r="B72" s="70"/>
      <c r="C72" s="70"/>
      <c r="D72" s="1"/>
      <c r="E72" s="364"/>
      <c r="F72" s="686"/>
      <c r="G72" s="90"/>
      <c r="H72" s="214"/>
      <c r="I72" s="214"/>
      <c r="J72" s="214"/>
      <c r="K72" s="214"/>
      <c r="L72" s="214"/>
      <c r="M72" s="214"/>
      <c r="N72" s="90"/>
      <c r="O72" s="90"/>
      <c r="P72" s="90"/>
    </row>
    <row r="73" spans="1:6" ht="12.75" hidden="1">
      <c r="A73" s="91"/>
      <c r="B73" s="70"/>
      <c r="C73" s="70"/>
      <c r="D73" s="1"/>
      <c r="E73" s="1"/>
      <c r="F73" s="1"/>
    </row>
    <row r="74" spans="1:6" ht="12.75" hidden="1">
      <c r="A74" s="91"/>
      <c r="B74" s="70"/>
      <c r="C74" s="70"/>
      <c r="D74" s="1"/>
      <c r="E74" s="1"/>
      <c r="F74" s="1"/>
    </row>
    <row r="75" spans="1:6" ht="12.75" hidden="1">
      <c r="A75" s="91"/>
      <c r="B75" s="70"/>
      <c r="C75" s="70"/>
      <c r="D75" s="1"/>
      <c r="E75" s="1"/>
      <c r="F75" s="1"/>
    </row>
    <row r="76" spans="1:13" ht="12.75" hidden="1">
      <c r="A76" s="753" t="s">
        <v>293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</row>
    <row r="77" ht="12.75" hidden="1"/>
    <row r="78" spans="10:14" ht="13.5" hidden="1" thickBot="1">
      <c r="J78" s="786" t="s">
        <v>87</v>
      </c>
      <c r="K78" s="786"/>
      <c r="L78" s="786"/>
      <c r="M78" s="786"/>
      <c r="N78" s="786"/>
    </row>
    <row r="79" spans="1:14" ht="16.5" customHeight="1" hidden="1" thickBot="1">
      <c r="A79" s="754" t="s">
        <v>273</v>
      </c>
      <c r="B79" s="754" t="s">
        <v>100</v>
      </c>
      <c r="C79" s="756" t="s">
        <v>2</v>
      </c>
      <c r="D79" s="757"/>
      <c r="E79" s="758" t="s">
        <v>89</v>
      </c>
      <c r="F79" s="759"/>
      <c r="G79" s="759"/>
      <c r="H79" s="759"/>
      <c r="I79" s="759"/>
      <c r="J79" s="760" t="s">
        <v>274</v>
      </c>
      <c r="K79" s="760" t="s">
        <v>86</v>
      </c>
      <c r="L79" s="760" t="s">
        <v>275</v>
      </c>
      <c r="M79" s="760" t="s">
        <v>255</v>
      </c>
      <c r="N79" s="760" t="s">
        <v>198</v>
      </c>
    </row>
    <row r="80" spans="1:14" ht="63" customHeight="1" hidden="1" thickBot="1">
      <c r="A80" s="755"/>
      <c r="B80" s="755"/>
      <c r="C80" s="6" t="s">
        <v>3</v>
      </c>
      <c r="D80" s="8" t="s">
        <v>4</v>
      </c>
      <c r="E80" s="6" t="s">
        <v>5</v>
      </c>
      <c r="F80" s="7" t="s">
        <v>6</v>
      </c>
      <c r="G80" s="7" t="s">
        <v>7</v>
      </c>
      <c r="H80" s="8" t="s">
        <v>8</v>
      </c>
      <c r="I80" s="506" t="s">
        <v>90</v>
      </c>
      <c r="J80" s="761"/>
      <c r="K80" s="761"/>
      <c r="L80" s="761"/>
      <c r="M80" s="761"/>
      <c r="N80" s="761"/>
    </row>
    <row r="81" spans="1:14" ht="12.75" hidden="1">
      <c r="A81" s="762" t="s">
        <v>101</v>
      </c>
      <c r="B81" s="764" t="s">
        <v>102</v>
      </c>
      <c r="C81" s="9">
        <f>45468302/30.126</f>
        <v>1509271.1279293632</v>
      </c>
      <c r="D81" s="10">
        <f>8023833.94/30.126</f>
        <v>266342.4928633074</v>
      </c>
      <c r="E81" s="12">
        <f>5056473.2/30.126</f>
        <v>167844.16118967006</v>
      </c>
      <c r="F81" s="11">
        <f>5056473.2/30.126</f>
        <v>167844.16118967006</v>
      </c>
      <c r="G81" s="11">
        <f>892318.8/30.126</f>
        <v>29619.557857000596</v>
      </c>
      <c r="H81" s="13">
        <f>892318.8/30.126</f>
        <v>29619.557857000596</v>
      </c>
      <c r="I81" s="789">
        <f>SUM(E81:H82)</f>
        <v>409945.53541791154</v>
      </c>
      <c r="J81" s="1035">
        <f>I81/C82*100</f>
        <v>23.08754171613661</v>
      </c>
      <c r="K81" s="1035">
        <f>384569.75/30.126</f>
        <v>12765.377082918409</v>
      </c>
      <c r="L81" s="1035">
        <f>K81/C81*100</f>
        <v>0.8457974744691368</v>
      </c>
      <c r="M81" s="1035">
        <f>(174013.14+174013.14)/30.126</f>
        <v>11552.356104361681</v>
      </c>
      <c r="N81" s="1035">
        <f>M81/C81*100</f>
        <v>0.7654261643639124</v>
      </c>
    </row>
    <row r="82" spans="1:14" ht="13.5" hidden="1" thickBot="1">
      <c r="A82" s="763"/>
      <c r="B82" s="765"/>
      <c r="C82" s="767">
        <f>SUM(C81:D81)</f>
        <v>1775613.6207926706</v>
      </c>
      <c r="D82" s="717"/>
      <c r="E82" s="45">
        <f>192284.96/30.126</f>
        <v>6382.691362942309</v>
      </c>
      <c r="F82" s="22">
        <f>192284.96/30.126</f>
        <v>6382.691362942309</v>
      </c>
      <c r="G82" s="31">
        <f>33932.64/30.126</f>
        <v>1126.3572993427604</v>
      </c>
      <c r="H82" s="32">
        <f>33932.64/30.126</f>
        <v>1126.3572993427604</v>
      </c>
      <c r="I82" s="766"/>
      <c r="J82" s="1027"/>
      <c r="K82" s="1027"/>
      <c r="L82" s="1027"/>
      <c r="M82" s="1027"/>
      <c r="N82" s="1027"/>
    </row>
    <row r="83" spans="1:14" ht="12.75" hidden="1">
      <c r="A83" s="762" t="s">
        <v>103</v>
      </c>
      <c r="B83" s="764" t="s">
        <v>104</v>
      </c>
      <c r="C83" s="9">
        <f>50821500/30.126</f>
        <v>1686964.7480581556</v>
      </c>
      <c r="D83" s="10">
        <f>8968503.98/30.126</f>
        <v>297699.7935338246</v>
      </c>
      <c r="E83" s="25">
        <v>308635.57226316136</v>
      </c>
      <c r="F83" s="19">
        <v>308635.57226316136</v>
      </c>
      <c r="G83" s="19">
        <v>54465.10090951337</v>
      </c>
      <c r="H83" s="20">
        <v>54465.10090951337</v>
      </c>
      <c r="I83" s="789">
        <f>SUM(E83:H84)</f>
        <v>777700.3463453496</v>
      </c>
      <c r="J83" s="1035">
        <f>I83/C84*100</f>
        <v>39.1854809741058</v>
      </c>
      <c r="K83" s="1035">
        <f>43774.16/30.126</f>
        <v>1453.0359158202218</v>
      </c>
      <c r="L83" s="1035">
        <f>K83/C83*100</f>
        <v>0.08613315230758636</v>
      </c>
      <c r="M83" s="1035">
        <f>(19756.75+19787.15)/30.126</f>
        <v>1312.617008564031</v>
      </c>
      <c r="N83" s="1035">
        <f>M83/C83*100</f>
        <v>0.07780939169446002</v>
      </c>
    </row>
    <row r="84" spans="1:14" ht="34.5" customHeight="1" hidden="1" thickBot="1">
      <c r="A84" s="722"/>
      <c r="B84" s="689"/>
      <c r="C84" s="767">
        <f>C83+D83</f>
        <v>1984664.5415919803</v>
      </c>
      <c r="D84" s="717"/>
      <c r="E84" s="49">
        <f>21887.08</f>
        <v>21887.08</v>
      </c>
      <c r="F84" s="22">
        <f>21887.08</f>
        <v>21887.08</v>
      </c>
      <c r="G84" s="22">
        <f>3862.42</f>
        <v>3862.42</v>
      </c>
      <c r="H84" s="23">
        <f>3862.42</f>
        <v>3862.42</v>
      </c>
      <c r="I84" s="766"/>
      <c r="J84" s="1027"/>
      <c r="K84" s="1027"/>
      <c r="L84" s="1027"/>
      <c r="M84" s="1027"/>
      <c r="N84" s="1027"/>
    </row>
    <row r="85" spans="1:14" ht="12.75" hidden="1">
      <c r="A85" s="762" t="s">
        <v>276</v>
      </c>
      <c r="B85" s="764" t="s">
        <v>105</v>
      </c>
      <c r="C85" s="9">
        <f>50821500/30.126</f>
        <v>1686964.7480581556</v>
      </c>
      <c r="D85" s="10">
        <f>8968504/30.126</f>
        <v>297699.79419770295</v>
      </c>
      <c r="E85" s="25">
        <f>10115000/30.126</f>
        <v>335756.48941113986</v>
      </c>
      <c r="F85" s="19">
        <f>10115000/30.126</f>
        <v>335756.48941113986</v>
      </c>
      <c r="G85" s="19">
        <f>1785000/30.126</f>
        <v>59251.145190201154</v>
      </c>
      <c r="H85" s="20">
        <f>1785000/30.126</f>
        <v>59251.145190201154</v>
      </c>
      <c r="I85" s="789">
        <f>(E85+F85+G85+H85)</f>
        <v>790015.269202682</v>
      </c>
      <c r="J85" s="1035">
        <f>I85/C86*100</f>
        <v>39.80598496029536</v>
      </c>
      <c r="K85" s="1035">
        <v>0</v>
      </c>
      <c r="L85" s="1035">
        <f>0</f>
        <v>0</v>
      </c>
      <c r="M85" s="1035">
        <v>0</v>
      </c>
      <c r="N85" s="1035">
        <f>0</f>
        <v>0</v>
      </c>
    </row>
    <row r="86" spans="1:14" ht="13.5" hidden="1" thickBot="1">
      <c r="A86" s="763"/>
      <c r="B86" s="765"/>
      <c r="C86" s="767">
        <f>C85+D85</f>
        <v>1984664.5422558587</v>
      </c>
      <c r="D86" s="717"/>
      <c r="E86" s="495"/>
      <c r="F86" s="496"/>
      <c r="G86" s="496"/>
      <c r="H86" s="497"/>
      <c r="I86" s="766"/>
      <c r="J86" s="1027"/>
      <c r="K86" s="1027"/>
      <c r="L86" s="1027"/>
      <c r="M86" s="1027"/>
      <c r="N86" s="1027"/>
    </row>
    <row r="87" spans="1:14" ht="12.75" hidden="1">
      <c r="A87" s="718" t="s">
        <v>106</v>
      </c>
      <c r="B87" s="720" t="s">
        <v>107</v>
      </c>
      <c r="C87" s="9">
        <f>67480000/30.126</f>
        <v>2239925.645621722</v>
      </c>
      <c r="D87" s="10">
        <f>11908229.34/30.126</f>
        <v>395280.7986456881</v>
      </c>
      <c r="E87" s="25">
        <f>9455060/30.126</f>
        <v>313850.4945893912</v>
      </c>
      <c r="F87" s="19">
        <f>9455060/30.126</f>
        <v>313850.4945893912</v>
      </c>
      <c r="G87" s="19">
        <f>1668540/30.126</f>
        <v>55385.38139812786</v>
      </c>
      <c r="H87" s="20">
        <f>1668540/30.126</f>
        <v>55385.38139812786</v>
      </c>
      <c r="I87" s="789">
        <f>SUM(E87:H88)</f>
        <v>755458.4412135697</v>
      </c>
      <c r="J87" s="1035">
        <f>I87/C88*100</f>
        <v>28.66790352827889</v>
      </c>
      <c r="K87" s="1035">
        <f>434979.85/30.126</f>
        <v>14438.685852751774</v>
      </c>
      <c r="L87" s="1035">
        <f>K87/C87*100</f>
        <v>0.6446055868405453</v>
      </c>
      <c r="M87" s="1035">
        <f>(194193.66+194224.05)/30.126</f>
        <v>12893.105954989045</v>
      </c>
      <c r="N87" s="1035">
        <f>M87/C87*100</f>
        <v>0.5756041938352104</v>
      </c>
    </row>
    <row r="88" spans="1:14" ht="13.5" hidden="1" thickBot="1">
      <c r="A88" s="719"/>
      <c r="B88" s="721"/>
      <c r="C88" s="767">
        <f>C87+D87</f>
        <v>2635206.4442674103</v>
      </c>
      <c r="D88" s="717"/>
      <c r="E88" s="26">
        <v>7219.342760406294</v>
      </c>
      <c r="F88" s="27">
        <v>7219.342760406294</v>
      </c>
      <c r="G88" s="27">
        <v>1274.001858859457</v>
      </c>
      <c r="H88" s="28">
        <v>1274.001858859457</v>
      </c>
      <c r="I88" s="766"/>
      <c r="J88" s="1027"/>
      <c r="K88" s="1027"/>
      <c r="L88" s="1027"/>
      <c r="M88" s="1027"/>
      <c r="N88" s="1027"/>
    </row>
    <row r="89" spans="1:14" ht="12.75" hidden="1">
      <c r="A89" s="762" t="s">
        <v>108</v>
      </c>
      <c r="B89" s="762" t="s">
        <v>109</v>
      </c>
      <c r="C89" s="9">
        <f>300000*33.832/30.126</f>
        <v>336904.9990041824</v>
      </c>
      <c r="D89" s="10">
        <f>52941*33.832/30.126</f>
        <v>59453.62517426807</v>
      </c>
      <c r="E89" s="25">
        <v>139953.53681205603</v>
      </c>
      <c r="F89" s="19">
        <v>139953.53681205603</v>
      </c>
      <c r="G89" s="19">
        <v>15787.054371639115</v>
      </c>
      <c r="H89" s="20">
        <v>15787.054371639115</v>
      </c>
      <c r="I89" s="789">
        <f>SUM(E89:H91)</f>
        <v>391044.843656642</v>
      </c>
      <c r="J89" s="1035">
        <f>I89/C90*100</f>
        <v>98.659350346464</v>
      </c>
      <c r="K89" s="1035">
        <f>7697475.06/30.126</f>
        <v>255509.3626767576</v>
      </c>
      <c r="L89" s="1035">
        <f>K89/C89*100</f>
        <v>75.84018148498463</v>
      </c>
      <c r="M89" s="1035">
        <f>(15634.08+15634.08+3549684.68+3549684.68)/30.126</f>
        <v>236693.8033592246</v>
      </c>
      <c r="N89" s="1035">
        <f>M89/C89*100</f>
        <v>70.25535508788525</v>
      </c>
    </row>
    <row r="90" spans="1:14" ht="12.75" hidden="1">
      <c r="A90" s="722"/>
      <c r="B90" s="722"/>
      <c r="C90" s="723">
        <f>C89+D89</f>
        <v>396358.6241784505</v>
      </c>
      <c r="D90" s="724"/>
      <c r="E90" s="49">
        <f>17448.37/30.126</f>
        <v>579.1797782646219</v>
      </c>
      <c r="F90" s="22">
        <f>17448.37/30.126</f>
        <v>579.1797782646219</v>
      </c>
      <c r="G90" s="22">
        <f>3079.13/30.126</f>
        <v>102.20839142269136</v>
      </c>
      <c r="H90" s="23">
        <f>3079.13/30.126</f>
        <v>102.20839142269136</v>
      </c>
      <c r="I90" s="790"/>
      <c r="J90" s="1036"/>
      <c r="K90" s="1036"/>
      <c r="L90" s="1036"/>
      <c r="M90" s="1036"/>
      <c r="N90" s="1036"/>
    </row>
    <row r="91" spans="1:14" ht="13.5" hidden="1" thickBot="1">
      <c r="A91" s="1157"/>
      <c r="B91" s="1157"/>
      <c r="C91" s="725"/>
      <c r="D91" s="726"/>
      <c r="E91" s="26">
        <f>773073.58/30.126</f>
        <v>25661.341698200886</v>
      </c>
      <c r="F91" s="27">
        <f>773073.58/30.126</f>
        <v>25661.341698200886</v>
      </c>
      <c r="G91" s="27">
        <f>404866.35/30.126</f>
        <v>13439.1007767377</v>
      </c>
      <c r="H91" s="28">
        <f>404866.35/30.126</f>
        <v>13439.1007767377</v>
      </c>
      <c r="I91" s="766"/>
      <c r="J91" s="1027"/>
      <c r="K91" s="1027"/>
      <c r="L91" s="1027"/>
      <c r="M91" s="1027"/>
      <c r="N91" s="1027"/>
    </row>
    <row r="92" spans="1:14" ht="12.75" hidden="1">
      <c r="A92" s="722" t="s">
        <v>110</v>
      </c>
      <c r="B92" s="733" t="s">
        <v>111</v>
      </c>
      <c r="C92" s="513">
        <f>86530186.8/30.126</f>
        <v>2872276.000796654</v>
      </c>
      <c r="D92" s="514">
        <f>15270040.68/30.126</f>
        <v>506872.4915355507</v>
      </c>
      <c r="E92" s="12">
        <f>935000/30.126</f>
        <v>31036.314147248224</v>
      </c>
      <c r="F92" s="11">
        <f>935000/30.126</f>
        <v>31036.314147248224</v>
      </c>
      <c r="G92" s="11">
        <f>165000/30.126</f>
        <v>5476.996614220275</v>
      </c>
      <c r="H92" s="13">
        <f>165000/30.126</f>
        <v>5476.996614220275</v>
      </c>
      <c r="I92" s="789">
        <f>SUM(E92:H93)</f>
        <v>90467.50580893579</v>
      </c>
      <c r="J92" s="1035">
        <f>I92/C93*100</f>
        <v>2.6772278878605116</v>
      </c>
      <c r="K92" s="1035">
        <f>744110.4/30.126</f>
        <v>24699.940250946027</v>
      </c>
      <c r="L92" s="1035">
        <f>K92/C92*100</f>
        <v>0.8599431337411605</v>
      </c>
      <c r="M92" s="1035">
        <v>0</v>
      </c>
      <c r="N92" s="1035">
        <f>0</f>
        <v>0</v>
      </c>
    </row>
    <row r="93" spans="1:14" ht="13.5" hidden="1" thickBot="1">
      <c r="A93" s="722"/>
      <c r="B93" s="733"/>
      <c r="C93" s="767">
        <f>C92+D92</f>
        <v>3379148.4923322042</v>
      </c>
      <c r="D93" s="717"/>
      <c r="E93" s="34">
        <f>223305.23/30.126</f>
        <v>7412.375688773816</v>
      </c>
      <c r="F93" s="33">
        <f>223305.23/30.126</f>
        <v>7412.375688773816</v>
      </c>
      <c r="G93" s="33">
        <f>39406.81/30.126</f>
        <v>1308.0664542255856</v>
      </c>
      <c r="H93" s="35">
        <f>39406.81/30.126</f>
        <v>1308.0664542255856</v>
      </c>
      <c r="I93" s="766"/>
      <c r="J93" s="1027"/>
      <c r="K93" s="1027"/>
      <c r="L93" s="1027"/>
      <c r="M93" s="1027"/>
      <c r="N93" s="1027"/>
    </row>
    <row r="94" spans="1:14" ht="12.75" hidden="1">
      <c r="A94" s="762" t="s">
        <v>277</v>
      </c>
      <c r="B94" s="720" t="s">
        <v>278</v>
      </c>
      <c r="C94" s="9">
        <f>27754426/30.126</f>
        <v>921278.1650401646</v>
      </c>
      <c r="D94" s="10">
        <f>4897849.765/30.126</f>
        <v>162578.82775675494</v>
      </c>
      <c r="E94" s="25">
        <f>11063523.16/30.126</f>
        <v>367241.69023434905</v>
      </c>
      <c r="F94" s="19">
        <v>0</v>
      </c>
      <c r="G94" s="19">
        <f>1952386.55/30.126</f>
        <v>64807.36075151032</v>
      </c>
      <c r="H94" s="17">
        <v>0</v>
      </c>
      <c r="I94" s="789">
        <f>E94+G94</f>
        <v>432049.05098585936</v>
      </c>
      <c r="J94" s="1035">
        <f>I94/C95*100</f>
        <v>39.86218235958843</v>
      </c>
      <c r="K94" s="1035">
        <v>0</v>
      </c>
      <c r="L94" s="1035">
        <v>0</v>
      </c>
      <c r="M94" s="1035">
        <v>0</v>
      </c>
      <c r="N94" s="1035">
        <v>0</v>
      </c>
    </row>
    <row r="95" spans="1:14" ht="13.5" hidden="1" thickBot="1">
      <c r="A95" s="763"/>
      <c r="B95" s="721"/>
      <c r="C95" s="767">
        <f>C94+D94</f>
        <v>1083856.9927969195</v>
      </c>
      <c r="D95" s="717"/>
      <c r="E95" s="495"/>
      <c r="F95" s="496"/>
      <c r="G95" s="496"/>
      <c r="H95" s="515"/>
      <c r="I95" s="766"/>
      <c r="J95" s="1027"/>
      <c r="K95" s="1027"/>
      <c r="L95" s="1027"/>
      <c r="M95" s="1027"/>
      <c r="N95" s="1027"/>
    </row>
    <row r="96" spans="1:14" ht="12.75" hidden="1">
      <c r="A96" s="718" t="s">
        <v>279</v>
      </c>
      <c r="B96" s="720" t="s">
        <v>280</v>
      </c>
      <c r="C96" s="513">
        <f>59014670.31/30.126</f>
        <v>1958928.1786496714</v>
      </c>
      <c r="D96" s="514">
        <f>10414353.58/30.126</f>
        <v>345693.20786032</v>
      </c>
      <c r="E96" s="25">
        <v>0</v>
      </c>
      <c r="F96" s="19">
        <v>0</v>
      </c>
      <c r="G96" s="19">
        <v>0</v>
      </c>
      <c r="H96" s="17">
        <v>0</v>
      </c>
      <c r="I96" s="789">
        <f>SUM(E96:H97)</f>
        <v>0</v>
      </c>
      <c r="J96" s="1035">
        <v>0</v>
      </c>
      <c r="K96" s="1035">
        <v>0</v>
      </c>
      <c r="L96" s="1035">
        <v>0</v>
      </c>
      <c r="M96" s="1035">
        <v>0</v>
      </c>
      <c r="N96" s="1035">
        <v>0</v>
      </c>
    </row>
    <row r="97" spans="1:14" ht="13.5" hidden="1" thickBot="1">
      <c r="A97" s="732"/>
      <c r="B97" s="733"/>
      <c r="C97" s="734">
        <f>C96+D96</f>
        <v>2304621.3865099913</v>
      </c>
      <c r="D97" s="735"/>
      <c r="E97" s="30">
        <v>0</v>
      </c>
      <c r="F97" s="31">
        <v>0</v>
      </c>
      <c r="G97" s="31">
        <v>0</v>
      </c>
      <c r="H97" s="29">
        <v>0</v>
      </c>
      <c r="I97" s="790"/>
      <c r="J97" s="1036"/>
      <c r="K97" s="1027"/>
      <c r="L97" s="1027"/>
      <c r="M97" s="1027"/>
      <c r="N97" s="1027"/>
    </row>
    <row r="98" spans="1:14" ht="13.5" hidden="1" thickBot="1">
      <c r="A98" s="728" t="s">
        <v>294</v>
      </c>
      <c r="B98" s="729"/>
      <c r="C98" s="730">
        <f>SUM(C82+C84+C86+C88+C90+C93+C95+C97)</f>
        <v>15544134.644725487</v>
      </c>
      <c r="D98" s="731"/>
      <c r="E98" s="516">
        <f>SUM(E81:E97)</f>
        <v>1733460.2699356037</v>
      </c>
      <c r="F98" s="517">
        <f>SUM(F81:F97)</f>
        <v>1366218.5797012546</v>
      </c>
      <c r="G98" s="517">
        <f>SUM(G81:G97)</f>
        <v>305904.75187280093</v>
      </c>
      <c r="H98" s="518">
        <f>SUM(H81:H97)</f>
        <v>241097.3911212906</v>
      </c>
      <c r="I98" s="519">
        <f>SUM(I81:I97)</f>
        <v>3646680.9926309497</v>
      </c>
      <c r="J98" s="520">
        <f>I98/C98*100</f>
        <v>23.46017373098579</v>
      </c>
      <c r="K98" s="521">
        <f>SUM(K81:K97)</f>
        <v>308866.401779194</v>
      </c>
      <c r="L98" s="522">
        <f>K98/C98*100</f>
        <v>1.987028604927841</v>
      </c>
      <c r="M98" s="521">
        <f>SUM(M81:M97)</f>
        <v>262451.8824271394</v>
      </c>
      <c r="N98" s="520">
        <f>M98/C98*100</f>
        <v>1.6884303206688698</v>
      </c>
    </row>
    <row r="99" ht="12.75" hidden="1">
      <c r="A99" t="s">
        <v>91</v>
      </c>
    </row>
    <row r="100" ht="12.75" hidden="1"/>
    <row r="101" spans="3:7" ht="12.75" hidden="1">
      <c r="C101" s="70" t="s">
        <v>283</v>
      </c>
      <c r="D101" s="796" t="s">
        <v>284</v>
      </c>
      <c r="E101" s="796"/>
      <c r="F101" s="796"/>
      <c r="G101" s="796"/>
    </row>
    <row r="102" spans="3:7" ht="12.75" hidden="1">
      <c r="C102" s="70" t="s">
        <v>285</v>
      </c>
      <c r="D102" s="796" t="s">
        <v>286</v>
      </c>
      <c r="E102" s="796"/>
      <c r="F102" s="796"/>
      <c r="G102" s="796"/>
    </row>
    <row r="103" spans="3:7" ht="12.75" hidden="1">
      <c r="C103" s="70" t="s">
        <v>287</v>
      </c>
      <c r="D103" s="70" t="s">
        <v>288</v>
      </c>
      <c r="E103" s="70"/>
      <c r="F103" s="70"/>
      <c r="G103" s="71"/>
    </row>
    <row r="104" spans="3:7" ht="12.75" hidden="1">
      <c r="C104" s="70" t="s">
        <v>289</v>
      </c>
      <c r="D104" s="796" t="s">
        <v>290</v>
      </c>
      <c r="E104" s="796"/>
      <c r="F104" s="796"/>
      <c r="G104" s="796"/>
    </row>
    <row r="105" spans="3:7" ht="12.75" hidden="1">
      <c r="C105" s="70" t="s">
        <v>291</v>
      </c>
      <c r="D105" s="70" t="s">
        <v>292</v>
      </c>
      <c r="E105" s="1"/>
      <c r="F105" s="1"/>
      <c r="G105" s="1"/>
    </row>
    <row r="106" ht="12.75" hidden="1"/>
    <row r="107" ht="12.75" hidden="1"/>
    <row r="109" spans="3:15" ht="12.75" hidden="1">
      <c r="C109" s="93"/>
      <c r="E109" s="538"/>
      <c r="F109" s="538"/>
      <c r="G109" s="538"/>
      <c r="H109" s="538"/>
      <c r="I109" s="538"/>
      <c r="J109" s="541"/>
      <c r="K109" s="538"/>
      <c r="L109" s="538"/>
      <c r="M109" s="90"/>
      <c r="O109" s="249"/>
    </row>
    <row r="110" ht="12.75" hidden="1">
      <c r="E110" s="363"/>
    </row>
    <row r="111" spans="3:13" ht="12.75" hidden="1">
      <c r="C111" s="593">
        <f>C53+C45+C42+C32+C28+C22+C14+C6</f>
        <v>13779378.787653854</v>
      </c>
      <c r="D111" s="593">
        <f>D53+D45+D42+D32+D28+D22+D14+D6</f>
        <v>2431654.9429682004</v>
      </c>
      <c r="E111" s="90"/>
      <c r="F111" s="90"/>
      <c r="G111" s="90"/>
      <c r="H111" s="90"/>
      <c r="I111" s="90"/>
      <c r="J111" s="542"/>
      <c r="K111" s="363"/>
      <c r="M111" s="90"/>
    </row>
    <row r="112" spans="3:4" ht="12.75" hidden="1">
      <c r="C112" s="727">
        <f>C111+D111</f>
        <v>16211033.730622055</v>
      </c>
      <c r="D112" s="727"/>
    </row>
    <row r="113" ht="12.75" hidden="1"/>
    <row r="114" spans="5:13" ht="12.75">
      <c r="E114" s="90"/>
      <c r="F114" s="90"/>
      <c r="G114" s="90"/>
      <c r="H114" s="90"/>
      <c r="I114" s="214"/>
      <c r="J114" s="214"/>
      <c r="K114" s="90"/>
      <c r="L114" s="90"/>
      <c r="M114" s="90"/>
    </row>
    <row r="117" spans="5:13" ht="12.75">
      <c r="E117" s="90"/>
      <c r="F117" s="90"/>
      <c r="G117" s="90"/>
      <c r="H117" s="90"/>
      <c r="I117" s="90"/>
      <c r="J117" s="90"/>
      <c r="K117" s="90"/>
      <c r="L117" s="90"/>
      <c r="M117" s="90"/>
    </row>
  </sheetData>
  <sheetProtection/>
  <mergeCells count="187">
    <mergeCell ref="O53:O61"/>
    <mergeCell ref="L45:L52"/>
    <mergeCell ref="M45:M52"/>
    <mergeCell ref="N42:N44"/>
    <mergeCell ref="O42:O44"/>
    <mergeCell ref="N28:N31"/>
    <mergeCell ref="B53:B61"/>
    <mergeCell ref="C54:D61"/>
    <mergeCell ref="I53:I61"/>
    <mergeCell ref="J53:J61"/>
    <mergeCell ref="K53:K61"/>
    <mergeCell ref="L53:L61"/>
    <mergeCell ref="M53:M61"/>
    <mergeCell ref="L32:L41"/>
    <mergeCell ref="N32:N41"/>
    <mergeCell ref="J32:J41"/>
    <mergeCell ref="K32:K41"/>
    <mergeCell ref="I28:I31"/>
    <mergeCell ref="J28:J31"/>
    <mergeCell ref="B14:B21"/>
    <mergeCell ref="M14:M21"/>
    <mergeCell ref="L28:L31"/>
    <mergeCell ref="M28:M31"/>
    <mergeCell ref="C15:D21"/>
    <mergeCell ref="I32:I41"/>
    <mergeCell ref="M32:M41"/>
    <mergeCell ref="K28:K31"/>
    <mergeCell ref="O4:O5"/>
    <mergeCell ref="O6:O13"/>
    <mergeCell ref="O14:O21"/>
    <mergeCell ref="O22:O27"/>
    <mergeCell ref="I22:I27"/>
    <mergeCell ref="O28:O31"/>
    <mergeCell ref="O32:O41"/>
    <mergeCell ref="O45:O52"/>
    <mergeCell ref="A45:A52"/>
    <mergeCell ref="B45:B52"/>
    <mergeCell ref="I42:I44"/>
    <mergeCell ref="J42:J44"/>
    <mergeCell ref="I45:I52"/>
    <mergeCell ref="J45:J52"/>
    <mergeCell ref="K45:K52"/>
    <mergeCell ref="L42:L44"/>
    <mergeCell ref="K42:K44"/>
    <mergeCell ref="M42:M44"/>
    <mergeCell ref="A83:A84"/>
    <mergeCell ref="B83:B84"/>
    <mergeCell ref="N45:N52"/>
    <mergeCell ref="M79:M80"/>
    <mergeCell ref="N53:N61"/>
    <mergeCell ref="B92:B93"/>
    <mergeCell ref="I92:I93"/>
    <mergeCell ref="J92:J93"/>
    <mergeCell ref="L92:L93"/>
    <mergeCell ref="A92:A93"/>
    <mergeCell ref="N96:N97"/>
    <mergeCell ref="C97:D97"/>
    <mergeCell ref="L96:L97"/>
    <mergeCell ref="M96:M97"/>
    <mergeCell ref="C93:D93"/>
    <mergeCell ref="N94:N95"/>
    <mergeCell ref="C95:D95"/>
    <mergeCell ref="B94:B95"/>
    <mergeCell ref="J94:J95"/>
    <mergeCell ref="A96:A97"/>
    <mergeCell ref="B96:B97"/>
    <mergeCell ref="L94:L95"/>
    <mergeCell ref="M94:M95"/>
    <mergeCell ref="A94:A95"/>
    <mergeCell ref="K94:K95"/>
    <mergeCell ref="C112:D112"/>
    <mergeCell ref="D104:G104"/>
    <mergeCell ref="A98:B98"/>
    <mergeCell ref="C98:D98"/>
    <mergeCell ref="D101:G101"/>
    <mergeCell ref="D102:G102"/>
    <mergeCell ref="J96:J97"/>
    <mergeCell ref="I94:I95"/>
    <mergeCell ref="K96:K97"/>
    <mergeCell ref="I96:I97"/>
    <mergeCell ref="A89:A91"/>
    <mergeCell ref="B89:B91"/>
    <mergeCell ref="I89:I91"/>
    <mergeCell ref="J89:J91"/>
    <mergeCell ref="C90:D91"/>
    <mergeCell ref="K87:K88"/>
    <mergeCell ref="C88:D88"/>
    <mergeCell ref="N89:N91"/>
    <mergeCell ref="N92:N93"/>
    <mergeCell ref="K89:K91"/>
    <mergeCell ref="L89:L91"/>
    <mergeCell ref="K92:K93"/>
    <mergeCell ref="M89:M91"/>
    <mergeCell ref="M92:M93"/>
    <mergeCell ref="N87:N88"/>
    <mergeCell ref="A87:A88"/>
    <mergeCell ref="B87:B88"/>
    <mergeCell ref="I87:I88"/>
    <mergeCell ref="J87:J88"/>
    <mergeCell ref="J85:J86"/>
    <mergeCell ref="K85:K86"/>
    <mergeCell ref="I83:I84"/>
    <mergeCell ref="J83:J84"/>
    <mergeCell ref="K83:K84"/>
    <mergeCell ref="C84:D84"/>
    <mergeCell ref="A85:A86"/>
    <mergeCell ref="B85:B86"/>
    <mergeCell ref="I85:I86"/>
    <mergeCell ref="C86:D86"/>
    <mergeCell ref="L83:L84"/>
    <mergeCell ref="M83:M84"/>
    <mergeCell ref="N83:N84"/>
    <mergeCell ref="L87:L88"/>
    <mergeCell ref="M87:M88"/>
    <mergeCell ref="L85:L86"/>
    <mergeCell ref="M85:M86"/>
    <mergeCell ref="N85:N86"/>
    <mergeCell ref="K81:K82"/>
    <mergeCell ref="L81:L82"/>
    <mergeCell ref="C82:D82"/>
    <mergeCell ref="N79:N80"/>
    <mergeCell ref="M81:M82"/>
    <mergeCell ref="N81:N82"/>
    <mergeCell ref="A81:A82"/>
    <mergeCell ref="B81:B82"/>
    <mergeCell ref="I81:I82"/>
    <mergeCell ref="J81:J82"/>
    <mergeCell ref="C71:F71"/>
    <mergeCell ref="A76:M76"/>
    <mergeCell ref="J78:N78"/>
    <mergeCell ref="A79:A80"/>
    <mergeCell ref="B79:B80"/>
    <mergeCell ref="C79:D79"/>
    <mergeCell ref="E79:I79"/>
    <mergeCell ref="J79:J80"/>
    <mergeCell ref="K79:K80"/>
    <mergeCell ref="L79:L80"/>
    <mergeCell ref="A42:A44"/>
    <mergeCell ref="B42:B44"/>
    <mergeCell ref="A62:B62"/>
    <mergeCell ref="C62:D62"/>
    <mergeCell ref="C46:D52"/>
    <mergeCell ref="A53:A61"/>
    <mergeCell ref="E63:F63"/>
    <mergeCell ref="C68:F68"/>
    <mergeCell ref="C69:F69"/>
    <mergeCell ref="C43:D44"/>
    <mergeCell ref="A22:A27"/>
    <mergeCell ref="B22:B27"/>
    <mergeCell ref="C23:D27"/>
    <mergeCell ref="A32:A41"/>
    <mergeCell ref="B32:B41"/>
    <mergeCell ref="C33:D41"/>
    <mergeCell ref="A28:A31"/>
    <mergeCell ref="B28:B31"/>
    <mergeCell ref="C29:D31"/>
    <mergeCell ref="L22:L27"/>
    <mergeCell ref="C5:D5"/>
    <mergeCell ref="N4:N5"/>
    <mergeCell ref="M6:M13"/>
    <mergeCell ref="N6:N13"/>
    <mergeCell ref="M22:M27"/>
    <mergeCell ref="J14:J21"/>
    <mergeCell ref="N22:N27"/>
    <mergeCell ref="J22:J27"/>
    <mergeCell ref="K22:K27"/>
    <mergeCell ref="K6:K13"/>
    <mergeCell ref="C7:D13"/>
    <mergeCell ref="L6:L13"/>
    <mergeCell ref="N14:N21"/>
    <mergeCell ref="L14:L21"/>
    <mergeCell ref="K14:K21"/>
    <mergeCell ref="I14:I21"/>
    <mergeCell ref="A6:A13"/>
    <mergeCell ref="B6:B13"/>
    <mergeCell ref="I6:I13"/>
    <mergeCell ref="J6:J13"/>
    <mergeCell ref="A14:A21"/>
    <mergeCell ref="A2:N2"/>
    <mergeCell ref="J3:N3"/>
    <mergeCell ref="A4:A5"/>
    <mergeCell ref="B4:B5"/>
    <mergeCell ref="E4:I4"/>
    <mergeCell ref="J4:J5"/>
    <mergeCell ref="K4:K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 alignWithMargins="0">
    <oddHeader>&amp;LMinisterstvo financií SR
Odbor platieb&amp;RPríloha č. 4</oddHeader>
    <oddFooter>&amp;LFM EHP/NFM&amp;C&amp;P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4:P745"/>
  <sheetViews>
    <sheetView zoomScalePageLayoutView="0" workbookViewId="0" topLeftCell="A45">
      <selection activeCell="F109" sqref="F109"/>
    </sheetView>
  </sheetViews>
  <sheetFormatPr defaultColWidth="9.140625" defaultRowHeight="12.75"/>
  <cols>
    <col min="1" max="1" width="10.00390625" style="0" customWidth="1"/>
    <col min="3" max="3" width="10.00390625" style="0" customWidth="1"/>
    <col min="4" max="4" width="8.8515625" style="0" customWidth="1"/>
    <col min="5" max="5" width="11.8515625" style="0" customWidth="1"/>
    <col min="6" max="6" width="11.57421875" style="0" customWidth="1"/>
    <col min="7" max="7" width="12.00390625" style="0" customWidth="1"/>
    <col min="8" max="8" width="11.8515625" style="0" customWidth="1"/>
    <col min="9" max="9" width="12.28125" style="94" customWidth="1"/>
    <col min="10" max="10" width="12.7109375" style="0" customWidth="1"/>
    <col min="11" max="12" width="11.57421875" style="0" customWidth="1"/>
    <col min="13" max="13" width="10.8515625" style="0" customWidth="1"/>
    <col min="14" max="14" width="10.00390625" style="0" customWidth="1"/>
  </cols>
  <sheetData>
    <row r="1" ht="12.75" hidden="1"/>
    <row r="2" ht="12.75" hidden="1"/>
    <row r="3" ht="12.75" hidden="1"/>
    <row r="4" spans="1:12" ht="12.75" hidden="1">
      <c r="A4" s="87" t="s">
        <v>112</v>
      </c>
      <c r="B4" s="87"/>
      <c r="C4" s="87"/>
      <c r="D4" s="87"/>
      <c r="E4" s="87"/>
      <c r="F4" s="87"/>
      <c r="G4" s="87"/>
      <c r="H4" s="87"/>
      <c r="I4" s="95"/>
      <c r="J4" s="87"/>
      <c r="K4" s="87"/>
      <c r="L4" s="87"/>
    </row>
    <row r="5" spans="9:12" ht="12.75" hidden="1">
      <c r="I5" s="695" t="s">
        <v>113</v>
      </c>
      <c r="J5" s="695"/>
      <c r="K5" s="96"/>
      <c r="L5" s="96"/>
    </row>
    <row r="6" spans="1:12" ht="15.75" customHeight="1" hidden="1">
      <c r="A6" s="696" t="s">
        <v>114</v>
      </c>
      <c r="B6" s="696" t="s">
        <v>100</v>
      </c>
      <c r="C6" s="697" t="s">
        <v>2</v>
      </c>
      <c r="D6" s="697"/>
      <c r="E6" s="698" t="s">
        <v>115</v>
      </c>
      <c r="F6" s="698"/>
      <c r="G6" s="698"/>
      <c r="H6" s="698"/>
      <c r="I6" s="698"/>
      <c r="J6" s="699" t="s">
        <v>116</v>
      </c>
      <c r="K6" s="98"/>
      <c r="L6" s="98"/>
    </row>
    <row r="7" spans="1:12" ht="49.5" customHeight="1" hidden="1">
      <c r="A7" s="696"/>
      <c r="B7" s="696"/>
      <c r="C7" s="97" t="s">
        <v>3</v>
      </c>
      <c r="D7" s="97" t="s">
        <v>4</v>
      </c>
      <c r="E7" s="698"/>
      <c r="F7" s="698"/>
      <c r="G7" s="698"/>
      <c r="H7" s="698"/>
      <c r="I7" s="698"/>
      <c r="J7" s="699"/>
      <c r="K7" s="98"/>
      <c r="L7" s="98"/>
    </row>
    <row r="8" spans="1:12" ht="12.75" customHeight="1" hidden="1">
      <c r="A8" s="700" t="s">
        <v>101</v>
      </c>
      <c r="B8" s="701" t="s">
        <v>102</v>
      </c>
      <c r="C8" s="101">
        <f>45468302</f>
        <v>45468302</v>
      </c>
      <c r="D8" s="101">
        <v>8023833.94</v>
      </c>
      <c r="E8" s="102">
        <f>880639.95+4175833.25</f>
        <v>5056473.2</v>
      </c>
      <c r="F8" s="102">
        <f>880639.95+4175833.25</f>
        <v>5056473.2</v>
      </c>
      <c r="G8" s="102">
        <f>155407.05+736911.75</f>
        <v>892318.8</v>
      </c>
      <c r="H8" s="102">
        <f>155407.05+736911.75</f>
        <v>892318.8</v>
      </c>
      <c r="I8" s="103">
        <f>SUM(E8:H8)</f>
        <v>11897584.000000002</v>
      </c>
      <c r="J8" s="104">
        <f>I8/C9*100</f>
        <v>22.241744119818</v>
      </c>
      <c r="K8" s="105"/>
      <c r="L8" s="105"/>
    </row>
    <row r="9" spans="1:12" ht="12.75" customHeight="1" hidden="1">
      <c r="A9" s="700"/>
      <c r="B9" s="701"/>
      <c r="C9" s="702">
        <f>SUM(C8:D8)</f>
        <v>53492135.94</v>
      </c>
      <c r="D9" s="703"/>
      <c r="E9" s="102"/>
      <c r="F9" s="102"/>
      <c r="G9" s="102"/>
      <c r="H9" s="102"/>
      <c r="I9" s="102"/>
      <c r="J9" s="106"/>
      <c r="K9" s="107"/>
      <c r="L9" s="107"/>
    </row>
    <row r="10" spans="1:12" ht="12.75" customHeight="1" hidden="1">
      <c r="A10" s="700" t="s">
        <v>103</v>
      </c>
      <c r="B10" s="701" t="s">
        <v>104</v>
      </c>
      <c r="C10" s="101">
        <v>50821500</v>
      </c>
      <c r="D10" s="101">
        <v>8968503.98</v>
      </c>
      <c r="E10" s="102">
        <f>F10</f>
        <v>9297955.25</v>
      </c>
      <c r="F10" s="102">
        <f>9137500+160455.25</f>
        <v>9297955.25</v>
      </c>
      <c r="G10" s="102">
        <f>1612500+28315.63</f>
        <v>1640815.63</v>
      </c>
      <c r="H10" s="102">
        <f>1612500+28315.63</f>
        <v>1640815.63</v>
      </c>
      <c r="I10" s="103">
        <f>E10+F10+G10+H10</f>
        <v>21877541.759999998</v>
      </c>
      <c r="J10" s="104">
        <f>I10/C11*100</f>
        <v>36.59063439319743</v>
      </c>
      <c r="K10" s="105"/>
      <c r="L10" s="105"/>
    </row>
    <row r="11" spans="1:12" ht="12.75" customHeight="1" hidden="1">
      <c r="A11" s="700"/>
      <c r="B11" s="701"/>
      <c r="C11" s="702">
        <f>C10+D10</f>
        <v>59790003.980000004</v>
      </c>
      <c r="D11" s="703"/>
      <c r="E11" s="102" t="s">
        <v>76</v>
      </c>
      <c r="F11" s="102" t="s">
        <v>76</v>
      </c>
      <c r="G11" s="102" t="s">
        <v>76</v>
      </c>
      <c r="H11" s="102" t="s">
        <v>76</v>
      </c>
      <c r="I11" s="102" t="s">
        <v>76</v>
      </c>
      <c r="J11" s="104"/>
      <c r="K11" s="105"/>
      <c r="L11" s="105"/>
    </row>
    <row r="12" spans="1:12" ht="12.75" customHeight="1" hidden="1">
      <c r="A12" s="700" t="s">
        <v>117</v>
      </c>
      <c r="B12" s="701" t="s">
        <v>105</v>
      </c>
      <c r="C12" s="101">
        <v>50821500</v>
      </c>
      <c r="D12" s="101">
        <v>8968504</v>
      </c>
      <c r="E12" s="102">
        <f>F12</f>
        <v>10115000</v>
      </c>
      <c r="F12" s="102">
        <f>935000+9180000</f>
        <v>10115000</v>
      </c>
      <c r="G12" s="102">
        <f>165000+1620000</f>
        <v>1785000</v>
      </c>
      <c r="H12" s="102">
        <f>165000+1620000</f>
        <v>1785000</v>
      </c>
      <c r="I12" s="103">
        <f>E12+F12+G12+H12</f>
        <v>23800000</v>
      </c>
      <c r="J12" s="104">
        <f>I12/C13*100</f>
        <v>39.80598496029537</v>
      </c>
      <c r="K12" s="105"/>
      <c r="L12" s="105"/>
    </row>
    <row r="13" spans="1:12" ht="12.75" customHeight="1" hidden="1">
      <c r="A13" s="700"/>
      <c r="B13" s="701"/>
      <c r="C13" s="702">
        <f>C12+D12</f>
        <v>59790004</v>
      </c>
      <c r="D13" s="703"/>
      <c r="E13" s="102" t="s">
        <v>76</v>
      </c>
      <c r="F13" s="102" t="s">
        <v>76</v>
      </c>
      <c r="G13" s="102" t="s">
        <v>76</v>
      </c>
      <c r="H13" s="102" t="s">
        <v>76</v>
      </c>
      <c r="I13" s="102" t="s">
        <v>76</v>
      </c>
      <c r="J13" s="104" t="s">
        <v>76</v>
      </c>
      <c r="K13" s="105"/>
      <c r="L13" s="105"/>
    </row>
    <row r="14" spans="1:12" ht="12.75" customHeight="1" hidden="1">
      <c r="A14" s="700" t="s">
        <v>106</v>
      </c>
      <c r="B14" s="701" t="s">
        <v>107</v>
      </c>
      <c r="C14" s="101">
        <v>67480000</v>
      </c>
      <c r="D14" s="101">
        <v>11908229.34</v>
      </c>
      <c r="E14" s="102">
        <f>F14</f>
        <v>9455060</v>
      </c>
      <c r="F14" s="102">
        <f>530060+8925000</f>
        <v>9455060</v>
      </c>
      <c r="G14" s="102">
        <f>H14</f>
        <v>1668540</v>
      </c>
      <c r="H14" s="102">
        <f>93540+1575000</f>
        <v>1668540</v>
      </c>
      <c r="I14" s="103">
        <f>E14+F14+G14+H14</f>
        <v>22247200</v>
      </c>
      <c r="J14" s="104">
        <f>I14/C15*100</f>
        <v>28.023297893092924</v>
      </c>
      <c r="K14" s="105"/>
      <c r="L14" s="105"/>
    </row>
    <row r="15" spans="1:12" ht="12.75" customHeight="1" hidden="1">
      <c r="A15" s="700"/>
      <c r="B15" s="701"/>
      <c r="C15" s="702">
        <f>C14+D14</f>
        <v>79388229.34</v>
      </c>
      <c r="D15" s="703"/>
      <c r="E15" s="102"/>
      <c r="F15" s="102"/>
      <c r="G15" s="102"/>
      <c r="H15" s="102"/>
      <c r="I15" s="102"/>
      <c r="J15" s="104"/>
      <c r="K15" s="105"/>
      <c r="L15" s="105"/>
    </row>
    <row r="16" spans="1:12" ht="12.75" customHeight="1" hidden="1">
      <c r="A16" s="700" t="s">
        <v>108</v>
      </c>
      <c r="B16" s="701" t="s">
        <v>109</v>
      </c>
      <c r="C16" s="101">
        <f>300000*33.832</f>
        <v>10149600</v>
      </c>
      <c r="D16" s="101">
        <f>52941*33.832</f>
        <v>1791099.912</v>
      </c>
      <c r="E16" s="102">
        <v>4216240.25</v>
      </c>
      <c r="F16" s="102">
        <f>4107156.95+109083.3</f>
        <v>4216240.25</v>
      </c>
      <c r="G16" s="102">
        <f>H16</f>
        <v>475600.8</v>
      </c>
      <c r="H16" s="102">
        <f>19250+456350.8</f>
        <v>475600.8</v>
      </c>
      <c r="I16" s="103">
        <f>E16+F16+G16+H16</f>
        <v>9383682.100000001</v>
      </c>
      <c r="J16" s="104">
        <f>I16/C17*100</f>
        <v>78.58569572265792</v>
      </c>
      <c r="K16" s="105"/>
      <c r="L16" s="105"/>
    </row>
    <row r="17" spans="1:12" ht="12.75" customHeight="1" hidden="1">
      <c r="A17" s="700"/>
      <c r="B17" s="701"/>
      <c r="C17" s="702">
        <f>C16+D16</f>
        <v>11940699.912</v>
      </c>
      <c r="D17" s="703"/>
      <c r="E17" s="102"/>
      <c r="F17" s="102"/>
      <c r="G17" s="102"/>
      <c r="H17" s="102"/>
      <c r="I17" s="102"/>
      <c r="J17" s="104" t="s">
        <v>76</v>
      </c>
      <c r="K17" s="105"/>
      <c r="L17" s="105"/>
    </row>
    <row r="18" spans="1:12" ht="12.75" customHeight="1" hidden="1">
      <c r="A18" s="700" t="s">
        <v>9</v>
      </c>
      <c r="B18" s="701" t="s">
        <v>10</v>
      </c>
      <c r="C18" s="101">
        <v>8140791.156</v>
      </c>
      <c r="D18" s="101">
        <v>1436622.162</v>
      </c>
      <c r="E18" s="102">
        <v>0</v>
      </c>
      <c r="F18" s="102">
        <v>2681921.71</v>
      </c>
      <c r="G18" s="102">
        <v>0</v>
      </c>
      <c r="H18" s="102">
        <v>473280.3</v>
      </c>
      <c r="I18" s="103">
        <f>F18+H18</f>
        <v>3155202.01</v>
      </c>
      <c r="J18" s="104">
        <f>I18/C19*100</f>
        <v>32.94419803382657</v>
      </c>
      <c r="K18" s="105"/>
      <c r="L18" s="105"/>
    </row>
    <row r="19" spans="1:12" ht="12.75" customHeight="1" hidden="1">
      <c r="A19" s="700"/>
      <c r="B19" s="701"/>
      <c r="C19" s="702">
        <f>C18+D18</f>
        <v>9577413.318</v>
      </c>
      <c r="D19" s="703"/>
      <c r="E19" s="102"/>
      <c r="F19" s="102"/>
      <c r="G19" s="102"/>
      <c r="H19" s="102"/>
      <c r="I19" s="102"/>
      <c r="J19" s="106"/>
      <c r="K19" s="107"/>
      <c r="L19" s="107"/>
    </row>
    <row r="20" spans="1:12" ht="12.75" customHeight="1" hidden="1">
      <c r="A20" s="700" t="s">
        <v>11</v>
      </c>
      <c r="B20" s="701" t="s">
        <v>12</v>
      </c>
      <c r="C20" s="101">
        <v>9964244.919</v>
      </c>
      <c r="D20" s="101">
        <v>1758398.1239999998</v>
      </c>
      <c r="E20" s="102">
        <v>1382052.93</v>
      </c>
      <c r="F20" s="102">
        <f>E20</f>
        <v>1382052.93</v>
      </c>
      <c r="G20" s="102">
        <v>243891.69</v>
      </c>
      <c r="H20" s="102">
        <f>G20</f>
        <v>243891.69</v>
      </c>
      <c r="I20" s="103">
        <f>E20+F20+G20+H20</f>
        <v>3251889.2399999998</v>
      </c>
      <c r="J20" s="104">
        <f>I20/C21*100</f>
        <v>27.740239364720882</v>
      </c>
      <c r="K20" s="105"/>
      <c r="L20" s="105"/>
    </row>
    <row r="21" spans="1:12" ht="12.75" customHeight="1" hidden="1">
      <c r="A21" s="700"/>
      <c r="B21" s="701"/>
      <c r="C21" s="702">
        <f>C20+D20</f>
        <v>11722643.043</v>
      </c>
      <c r="D21" s="703"/>
      <c r="E21" s="102"/>
      <c r="F21" s="102"/>
      <c r="G21" s="102"/>
      <c r="H21" s="102"/>
      <c r="I21" s="102"/>
      <c r="J21" s="104"/>
      <c r="K21" s="105"/>
      <c r="L21" s="105"/>
    </row>
    <row r="22" spans="1:12" ht="12.75" customHeight="1" hidden="1">
      <c r="A22" s="700" t="s">
        <v>118</v>
      </c>
      <c r="B22" s="701" t="s">
        <v>14</v>
      </c>
      <c r="C22" s="101">
        <v>18537001.63</v>
      </c>
      <c r="D22" s="101">
        <v>3271227.73</v>
      </c>
      <c r="E22" s="102">
        <v>0</v>
      </c>
      <c r="F22" s="102">
        <v>2313635.54</v>
      </c>
      <c r="G22" s="102">
        <v>0</v>
      </c>
      <c r="H22" s="102">
        <v>408288.62</v>
      </c>
      <c r="I22" s="103">
        <f>F22+H22</f>
        <v>2721924.16</v>
      </c>
      <c r="J22" s="104">
        <f>I22/C23*100</f>
        <v>12.481179077254534</v>
      </c>
      <c r="K22" s="105"/>
      <c r="L22" s="105"/>
    </row>
    <row r="23" spans="1:12" ht="12.75" customHeight="1" hidden="1">
      <c r="A23" s="700"/>
      <c r="B23" s="701"/>
      <c r="C23" s="702">
        <f>C22+D22</f>
        <v>21808229.36</v>
      </c>
      <c r="D23" s="703"/>
      <c r="E23" s="102"/>
      <c r="F23" s="102"/>
      <c r="G23" s="102"/>
      <c r="H23" s="102"/>
      <c r="I23" s="102"/>
      <c r="J23" s="104" t="s">
        <v>76</v>
      </c>
      <c r="K23" s="105"/>
      <c r="L23" s="105"/>
    </row>
    <row r="24" spans="1:12" ht="12.75" customHeight="1" hidden="1">
      <c r="A24" s="700" t="s">
        <v>15</v>
      </c>
      <c r="B24" s="701" t="s">
        <v>16</v>
      </c>
      <c r="C24" s="101">
        <v>10753549.239999998</v>
      </c>
      <c r="D24" s="101">
        <v>1897685.16</v>
      </c>
      <c r="E24" s="102">
        <v>1088927.34</v>
      </c>
      <c r="F24" s="102">
        <f>E24</f>
        <v>1088927.34</v>
      </c>
      <c r="G24" s="102">
        <v>192163.65</v>
      </c>
      <c r="H24" s="102">
        <f>G24</f>
        <v>192163.65</v>
      </c>
      <c r="I24" s="103">
        <f>E24+F24+G24+H24</f>
        <v>2562181.98</v>
      </c>
      <c r="J24" s="104">
        <f>I24/C25*100</f>
        <v>20.252426751337403</v>
      </c>
      <c r="K24" s="105"/>
      <c r="L24" s="105"/>
    </row>
    <row r="25" spans="1:12" ht="12.75" customHeight="1" hidden="1">
      <c r="A25" s="700"/>
      <c r="B25" s="701"/>
      <c r="C25" s="702">
        <f>C24+D24</f>
        <v>12651234.399999999</v>
      </c>
      <c r="D25" s="703"/>
      <c r="E25" s="102"/>
      <c r="F25" s="102"/>
      <c r="G25" s="102"/>
      <c r="H25" s="102"/>
      <c r="I25" s="102"/>
      <c r="J25" s="104" t="s">
        <v>76</v>
      </c>
      <c r="K25" s="105"/>
      <c r="L25" s="105"/>
    </row>
    <row r="26" spans="1:12" ht="12.75" customHeight="1" hidden="1">
      <c r="A26" s="700" t="s">
        <v>17</v>
      </c>
      <c r="B26" s="701" t="s">
        <v>18</v>
      </c>
      <c r="C26" s="101">
        <v>10014037.76</v>
      </c>
      <c r="D26" s="101">
        <v>1767165.198</v>
      </c>
      <c r="E26" s="102">
        <v>0</v>
      </c>
      <c r="F26" s="102">
        <v>4005608.85</v>
      </c>
      <c r="G26" s="102">
        <v>0</v>
      </c>
      <c r="H26" s="102">
        <v>706872.15</v>
      </c>
      <c r="I26" s="103">
        <f>F26+H26</f>
        <v>4712481</v>
      </c>
      <c r="J26" s="104">
        <f>I26/C27*100</f>
        <v>39.99999844498053</v>
      </c>
      <c r="K26" s="105"/>
      <c r="L26" s="105"/>
    </row>
    <row r="27" spans="1:12" ht="12.75" customHeight="1" hidden="1">
      <c r="A27" s="700"/>
      <c r="B27" s="701"/>
      <c r="C27" s="702">
        <f>C26+D26</f>
        <v>11781202.958</v>
      </c>
      <c r="D27" s="703"/>
      <c r="E27" s="102"/>
      <c r="F27" s="102"/>
      <c r="G27" s="102"/>
      <c r="H27" s="102"/>
      <c r="I27" s="102"/>
      <c r="J27" s="104" t="s">
        <v>76</v>
      </c>
      <c r="K27" s="105"/>
      <c r="L27" s="105"/>
    </row>
    <row r="28" spans="1:12" ht="12.75" customHeight="1" hidden="1">
      <c r="A28" s="700" t="s">
        <v>19</v>
      </c>
      <c r="B28" s="701" t="s">
        <v>20</v>
      </c>
      <c r="C28" s="101">
        <v>12848906.31</v>
      </c>
      <c r="D28" s="101">
        <v>2267434.44</v>
      </c>
      <c r="E28" s="102">
        <v>1334500</v>
      </c>
      <c r="F28" s="102">
        <f>E28</f>
        <v>1334500</v>
      </c>
      <c r="G28" s="102">
        <v>235500</v>
      </c>
      <c r="H28" s="102">
        <f>G28</f>
        <v>235500</v>
      </c>
      <c r="I28" s="103">
        <f>E28+F28+G28+H28</f>
        <v>3140000</v>
      </c>
      <c r="J28" s="104">
        <f>I28/C29*100</f>
        <v>20.772222933648806</v>
      </c>
      <c r="K28" s="105"/>
      <c r="L28" s="105"/>
    </row>
    <row r="29" spans="1:12" ht="12.75" customHeight="1" hidden="1">
      <c r="A29" s="700"/>
      <c r="B29" s="701"/>
      <c r="C29" s="702">
        <f>C28+D28</f>
        <v>15116340.75</v>
      </c>
      <c r="D29" s="703"/>
      <c r="E29" s="102"/>
      <c r="F29" s="102"/>
      <c r="G29" s="102"/>
      <c r="H29" s="102"/>
      <c r="I29" s="102"/>
      <c r="J29" s="104" t="s">
        <v>76</v>
      </c>
      <c r="K29" s="105"/>
      <c r="L29" s="105"/>
    </row>
    <row r="30" spans="1:12" ht="12.75" customHeight="1" hidden="1">
      <c r="A30" s="700" t="s">
        <v>21</v>
      </c>
      <c r="B30" s="701" t="s">
        <v>22</v>
      </c>
      <c r="C30" s="101">
        <v>15551853.34</v>
      </c>
      <c r="D30" s="101">
        <v>2744462.64</v>
      </c>
      <c r="E30" s="102">
        <v>17014.66</v>
      </c>
      <c r="F30" s="102">
        <v>17014.66</v>
      </c>
      <c r="G30" s="102">
        <v>3002.59</v>
      </c>
      <c r="H30" s="102">
        <f>G30</f>
        <v>3002.59</v>
      </c>
      <c r="I30" s="103">
        <f>E30+F30+H30+G30</f>
        <v>40034.5</v>
      </c>
      <c r="J30" s="104">
        <f>I30/C31*100</f>
        <v>0.21881180913011317</v>
      </c>
      <c r="K30" s="105"/>
      <c r="L30" s="105"/>
    </row>
    <row r="31" spans="1:12" ht="12.75" customHeight="1" hidden="1">
      <c r="A31" s="700"/>
      <c r="B31" s="701"/>
      <c r="C31" s="702">
        <f>C30+D30</f>
        <v>18296315.98</v>
      </c>
      <c r="D31" s="703"/>
      <c r="E31" s="102"/>
      <c r="F31" s="102"/>
      <c r="G31" s="102"/>
      <c r="H31" s="102"/>
      <c r="I31" s="102"/>
      <c r="J31" s="104" t="s">
        <v>76</v>
      </c>
      <c r="K31" s="105"/>
      <c r="L31" s="105"/>
    </row>
    <row r="32" spans="1:12" ht="12.75" hidden="1">
      <c r="A32" s="99"/>
      <c r="B32" s="100"/>
      <c r="C32" s="544"/>
      <c r="D32" s="545"/>
      <c r="E32" s="102"/>
      <c r="F32" s="102"/>
      <c r="G32" s="102"/>
      <c r="H32" s="102"/>
      <c r="I32" s="102"/>
      <c r="J32" s="104"/>
      <c r="K32" s="105"/>
      <c r="L32" s="105"/>
    </row>
    <row r="33" spans="1:12" ht="12.75" hidden="1">
      <c r="A33" s="99"/>
      <c r="B33" s="100"/>
      <c r="C33" s="544"/>
      <c r="D33" s="545"/>
      <c r="E33" s="102"/>
      <c r="F33" s="102"/>
      <c r="G33" s="102"/>
      <c r="H33" s="102"/>
      <c r="I33" s="102"/>
      <c r="J33" s="104"/>
      <c r="K33" s="105"/>
      <c r="L33" s="105"/>
    </row>
    <row r="34" spans="1:12" ht="12.75" hidden="1">
      <c r="A34" s="99"/>
      <c r="B34" s="100"/>
      <c r="C34" s="544"/>
      <c r="D34" s="545"/>
      <c r="E34" s="102"/>
      <c r="F34" s="102"/>
      <c r="G34" s="102"/>
      <c r="H34" s="102"/>
      <c r="I34" s="102"/>
      <c r="J34" s="104"/>
      <c r="K34" s="105"/>
      <c r="L34" s="105"/>
    </row>
    <row r="35" spans="1:12" ht="12.75" hidden="1">
      <c r="A35" s="99"/>
      <c r="B35" s="100"/>
      <c r="C35" s="544"/>
      <c r="D35" s="545"/>
      <c r="E35" s="102"/>
      <c r="F35" s="102"/>
      <c r="G35" s="102"/>
      <c r="H35" s="102"/>
      <c r="I35" s="102"/>
      <c r="J35" s="104"/>
      <c r="K35" s="105"/>
      <c r="L35" s="105"/>
    </row>
    <row r="36" spans="1:12" ht="12.75" hidden="1">
      <c r="A36" s="99"/>
      <c r="B36" s="100"/>
      <c r="C36" s="544"/>
      <c r="D36" s="545"/>
      <c r="E36" s="102"/>
      <c r="F36" s="102"/>
      <c r="G36" s="102"/>
      <c r="H36" s="102"/>
      <c r="I36" s="102"/>
      <c r="J36" s="104"/>
      <c r="K36" s="105"/>
      <c r="L36" s="105"/>
    </row>
    <row r="37" spans="1:12" ht="12.75" hidden="1">
      <c r="A37" s="99"/>
      <c r="B37" s="100"/>
      <c r="C37" s="544"/>
      <c r="D37" s="545"/>
      <c r="E37" s="102"/>
      <c r="F37" s="102"/>
      <c r="G37" s="102"/>
      <c r="H37" s="102"/>
      <c r="I37" s="102"/>
      <c r="J37" s="104"/>
      <c r="K37" s="105"/>
      <c r="L37" s="105"/>
    </row>
    <row r="38" spans="1:12" ht="12.75" hidden="1">
      <c r="A38" s="99"/>
      <c r="B38" s="100"/>
      <c r="C38" s="544"/>
      <c r="D38" s="545"/>
      <c r="E38" s="102"/>
      <c r="F38" s="102"/>
      <c r="G38" s="102"/>
      <c r="H38" s="102"/>
      <c r="I38" s="102"/>
      <c r="J38" s="104"/>
      <c r="K38" s="105"/>
      <c r="L38" s="105"/>
    </row>
    <row r="39" spans="1:12" ht="12.75" hidden="1">
      <c r="A39" s="99"/>
      <c r="B39" s="100"/>
      <c r="C39" s="544"/>
      <c r="D39" s="545"/>
      <c r="E39" s="102"/>
      <c r="F39" s="102"/>
      <c r="G39" s="102"/>
      <c r="H39" s="102"/>
      <c r="I39" s="102"/>
      <c r="J39" s="104"/>
      <c r="K39" s="105"/>
      <c r="L39" s="105"/>
    </row>
    <row r="40" spans="1:12" ht="12.75" hidden="1">
      <c r="A40" s="99"/>
      <c r="B40" s="100"/>
      <c r="C40" s="544"/>
      <c r="D40" s="545"/>
      <c r="E40" s="102"/>
      <c r="F40" s="102"/>
      <c r="G40" s="102"/>
      <c r="H40" s="102"/>
      <c r="I40" s="102"/>
      <c r="J40" s="104"/>
      <c r="K40" s="105"/>
      <c r="L40" s="105"/>
    </row>
    <row r="41" spans="1:12" ht="12.75" hidden="1">
      <c r="A41" s="99"/>
      <c r="B41" s="100"/>
      <c r="C41" s="544"/>
      <c r="D41" s="545"/>
      <c r="E41" s="102"/>
      <c r="F41" s="102"/>
      <c r="G41" s="102"/>
      <c r="H41" s="102"/>
      <c r="I41" s="102"/>
      <c r="J41" s="104"/>
      <c r="K41" s="105"/>
      <c r="L41" s="105"/>
    </row>
    <row r="42" spans="1:12" ht="12.75" customHeight="1" hidden="1">
      <c r="A42" s="108" t="s">
        <v>75</v>
      </c>
      <c r="B42" s="109" t="s">
        <v>76</v>
      </c>
      <c r="C42" s="667">
        <f>C31+C29+C27+C25+C21+C19+C17+C15+C13+C11+C9</f>
        <v>343546223.621</v>
      </c>
      <c r="D42" s="668"/>
      <c r="E42" s="108"/>
      <c r="F42" s="108"/>
      <c r="G42" s="108"/>
      <c r="H42" s="108"/>
      <c r="I42" s="110">
        <f>I30+I28+I26+I24+I22+I20+I18+I16+I14+I12+I10+I8</f>
        <v>108789720.75</v>
      </c>
      <c r="J42" s="111"/>
      <c r="K42" s="112"/>
      <c r="L42" s="112"/>
    </row>
    <row r="43" spans="1:12" ht="12.75" hidden="1">
      <c r="A43" s="113"/>
      <c r="B43" s="114"/>
      <c r="C43" s="115"/>
      <c r="D43" s="114"/>
      <c r="E43" s="113"/>
      <c r="F43" s="113"/>
      <c r="G43" s="113"/>
      <c r="H43" s="113"/>
      <c r="I43" s="116"/>
      <c r="J43" s="113"/>
      <c r="K43" s="113"/>
      <c r="L43" s="113"/>
    </row>
    <row r="44" spans="1:12" ht="12.75" hidden="1">
      <c r="A44" s="113"/>
      <c r="B44" s="114"/>
      <c r="C44" s="115"/>
      <c r="D44" s="114"/>
      <c r="E44" s="113"/>
      <c r="F44" s="113"/>
      <c r="G44" s="113"/>
      <c r="H44" s="113"/>
      <c r="I44" s="116"/>
      <c r="J44" s="113"/>
      <c r="K44" s="113"/>
      <c r="L44" s="113"/>
    </row>
    <row r="45" spans="1:12" ht="12.75">
      <c r="A45" s="113"/>
      <c r="B45" s="114"/>
      <c r="C45" s="115"/>
      <c r="D45" s="114"/>
      <c r="E45" s="113"/>
      <c r="F45" s="113"/>
      <c r="G45" s="113"/>
      <c r="H45" s="113"/>
      <c r="I45" s="117"/>
      <c r="J45" s="113"/>
      <c r="K45" s="113"/>
      <c r="L45" s="113"/>
    </row>
    <row r="46" spans="1:12" ht="12.75">
      <c r="A46" s="753" t="s">
        <v>328</v>
      </c>
      <c r="B46" s="753"/>
      <c r="C46" s="753"/>
      <c r="D46" s="753"/>
      <c r="E46" s="753"/>
      <c r="F46" s="753"/>
      <c r="G46" s="753"/>
      <c r="H46" s="753"/>
      <c r="I46" s="753"/>
      <c r="J46" s="753"/>
      <c r="K46" s="86"/>
      <c r="L46" s="86"/>
    </row>
    <row r="47" spans="1:12" ht="12.75">
      <c r="A47" s="113"/>
      <c r="B47" s="114"/>
      <c r="C47" s="115"/>
      <c r="D47" s="114"/>
      <c r="E47" s="113"/>
      <c r="F47" s="113"/>
      <c r="G47" s="113"/>
      <c r="H47" s="113"/>
      <c r="I47" s="117"/>
      <c r="J47" s="113"/>
      <c r="K47" s="113"/>
      <c r="L47" s="113"/>
    </row>
    <row r="48" spans="9:14" ht="13.5" thickBot="1">
      <c r="I48" s="694" t="s">
        <v>87</v>
      </c>
      <c r="J48" s="694"/>
      <c r="K48" s="694"/>
      <c r="L48" s="694"/>
      <c r="M48" s="694"/>
      <c r="N48" s="694"/>
    </row>
    <row r="49" spans="1:14" ht="16.5" customHeight="1" thickBot="1">
      <c r="A49" s="754" t="s">
        <v>0</v>
      </c>
      <c r="B49" s="754" t="s">
        <v>100</v>
      </c>
      <c r="C49" s="5" t="s">
        <v>145</v>
      </c>
      <c r="D49" s="257" t="s">
        <v>4</v>
      </c>
      <c r="E49" s="758" t="s">
        <v>89</v>
      </c>
      <c r="F49" s="759"/>
      <c r="G49" s="759"/>
      <c r="H49" s="759"/>
      <c r="I49" s="669"/>
      <c r="J49" s="670" t="s">
        <v>120</v>
      </c>
      <c r="K49" s="670" t="s">
        <v>86</v>
      </c>
      <c r="L49" s="973" t="s">
        <v>253</v>
      </c>
      <c r="M49" s="670" t="s">
        <v>88</v>
      </c>
      <c r="N49" s="1004" t="s">
        <v>254</v>
      </c>
    </row>
    <row r="50" spans="1:14" ht="62.25" customHeight="1" thickBot="1">
      <c r="A50" s="755"/>
      <c r="B50" s="755"/>
      <c r="C50" s="632" t="s">
        <v>197</v>
      </c>
      <c r="D50" s="633"/>
      <c r="E50" s="655" t="s">
        <v>256</v>
      </c>
      <c r="F50" s="656" t="s">
        <v>6</v>
      </c>
      <c r="G50" s="656" t="s">
        <v>257</v>
      </c>
      <c r="H50" s="657" t="s">
        <v>8</v>
      </c>
      <c r="I50" s="658" t="s">
        <v>90</v>
      </c>
      <c r="J50" s="671"/>
      <c r="K50" s="671"/>
      <c r="L50" s="974"/>
      <c r="M50" s="671"/>
      <c r="N50" s="1005"/>
    </row>
    <row r="51" spans="1:14" ht="12.75" customHeight="1" hidden="1">
      <c r="A51" s="634" t="s">
        <v>101</v>
      </c>
      <c r="B51" s="636" t="s">
        <v>102</v>
      </c>
      <c r="C51" s="120">
        <f>45468302</f>
        <v>45468302</v>
      </c>
      <c r="D51" s="121">
        <v>8023833.94</v>
      </c>
      <c r="E51" s="124">
        <f>880639.95+4175833.25</f>
        <v>5056473.2</v>
      </c>
      <c r="F51" s="125">
        <f>880639.95+4175833.25</f>
        <v>5056473.2</v>
      </c>
      <c r="G51" s="125">
        <f>155407.05+736911.75</f>
        <v>892318.8</v>
      </c>
      <c r="H51" s="126">
        <f>155407.05+736911.75</f>
        <v>892318.8</v>
      </c>
      <c r="I51" s="127">
        <f>SUM(E51:H51)</f>
        <v>11897584.000000002</v>
      </c>
      <c r="J51" s="39">
        <f>I51/C52*100</f>
        <v>22.241744119818</v>
      </c>
      <c r="K51" s="39"/>
      <c r="L51" s="39"/>
      <c r="M51" s="128"/>
      <c r="N51" s="129" t="s">
        <v>121</v>
      </c>
    </row>
    <row r="52" spans="1:14" ht="13.5" customHeight="1" hidden="1">
      <c r="A52" s="635"/>
      <c r="B52" s="637"/>
      <c r="C52" s="638">
        <f>SUM(C51:D51)</f>
        <v>53492135.94</v>
      </c>
      <c r="D52" s="639"/>
      <c r="E52" s="131">
        <v>192284.96</v>
      </c>
      <c r="F52" s="132">
        <f>E52</f>
        <v>192284.96</v>
      </c>
      <c r="G52" s="133">
        <v>33932.64</v>
      </c>
      <c r="H52" s="130">
        <f>G52</f>
        <v>33932.64</v>
      </c>
      <c r="I52" s="134"/>
      <c r="J52" s="135"/>
      <c r="K52" s="135"/>
      <c r="L52" s="135"/>
      <c r="M52" s="136"/>
      <c r="N52" s="129"/>
    </row>
    <row r="53" spans="1:14" ht="12.75" customHeight="1" hidden="1">
      <c r="A53" s="634" t="s">
        <v>103</v>
      </c>
      <c r="B53" s="636" t="s">
        <v>104</v>
      </c>
      <c r="C53" s="120">
        <v>50821500</v>
      </c>
      <c r="D53" s="121">
        <v>8968503.98</v>
      </c>
      <c r="E53" s="137">
        <f>F53</f>
        <v>9297955.25</v>
      </c>
      <c r="F53" s="122">
        <f>9137500+160455.25</f>
        <v>9297955.25</v>
      </c>
      <c r="G53" s="122">
        <f>1612500+28315.63</f>
        <v>1640815.63</v>
      </c>
      <c r="H53" s="123">
        <f>1612500+28315.63</f>
        <v>1640815.63</v>
      </c>
      <c r="I53" s="138">
        <f>(E53+F53+G53+H53)</f>
        <v>21877541.759999998</v>
      </c>
      <c r="J53" s="52">
        <f>I53/C54*100</f>
        <v>36.59063439319743</v>
      </c>
      <c r="K53" s="52"/>
      <c r="L53" s="52"/>
      <c r="M53" s="139"/>
      <c r="N53" s="129"/>
    </row>
    <row r="54" spans="1:14" ht="13.5" customHeight="1" hidden="1">
      <c r="A54" s="599"/>
      <c r="B54" s="600"/>
      <c r="C54" s="638">
        <f>C53+D53</f>
        <v>59790003.980000004</v>
      </c>
      <c r="D54" s="639"/>
      <c r="E54" s="141">
        <v>21887.08</v>
      </c>
      <c r="F54" s="142">
        <f>E54</f>
        <v>21887.08</v>
      </c>
      <c r="G54" s="142">
        <v>3862.42</v>
      </c>
      <c r="H54" s="143">
        <f>G54</f>
        <v>3862.42</v>
      </c>
      <c r="I54" s="144"/>
      <c r="J54" s="50"/>
      <c r="K54" s="50"/>
      <c r="L54" s="50"/>
      <c r="M54" s="145"/>
      <c r="N54" s="129"/>
    </row>
    <row r="55" spans="1:14" ht="12.75" customHeight="1" hidden="1">
      <c r="A55" s="634" t="s">
        <v>117</v>
      </c>
      <c r="B55" s="636" t="s">
        <v>105</v>
      </c>
      <c r="C55" s="120">
        <v>50821500</v>
      </c>
      <c r="D55" s="121">
        <v>8968504</v>
      </c>
      <c r="E55" s="137">
        <f>F55</f>
        <v>10115000</v>
      </c>
      <c r="F55" s="122">
        <f>935000+9180000</f>
        <v>10115000</v>
      </c>
      <c r="G55" s="122">
        <f>165000+1620000</f>
        <v>1785000</v>
      </c>
      <c r="H55" s="123">
        <f>165000+1620000</f>
        <v>1785000</v>
      </c>
      <c r="I55" s="138">
        <f>(E55+F55+G55+H55)</f>
        <v>23800000</v>
      </c>
      <c r="J55" s="39">
        <f>I55/C56*100</f>
        <v>39.80598496029537</v>
      </c>
      <c r="K55" s="39"/>
      <c r="L55" s="39"/>
      <c r="M55" s="128"/>
      <c r="N55" s="129"/>
    </row>
    <row r="56" spans="1:14" ht="13.5" customHeight="1" hidden="1">
      <c r="A56" s="635"/>
      <c r="B56" s="637"/>
      <c r="C56" s="638">
        <f>C55+D55</f>
        <v>59790004</v>
      </c>
      <c r="D56" s="639"/>
      <c r="E56" s="148" t="s">
        <v>76</v>
      </c>
      <c r="F56" s="146" t="s">
        <v>76</v>
      </c>
      <c r="G56" s="146" t="s">
        <v>76</v>
      </c>
      <c r="H56" s="147" t="s">
        <v>76</v>
      </c>
      <c r="I56" s="149" t="s">
        <v>76</v>
      </c>
      <c r="J56" s="48" t="s">
        <v>76</v>
      </c>
      <c r="K56" s="48"/>
      <c r="L56" s="48"/>
      <c r="M56" s="136"/>
      <c r="N56" s="129"/>
    </row>
    <row r="57" spans="1:14" ht="12.75" customHeight="1" hidden="1">
      <c r="A57" s="601" t="s">
        <v>106</v>
      </c>
      <c r="B57" s="603" t="s">
        <v>107</v>
      </c>
      <c r="C57" s="150">
        <v>67480000</v>
      </c>
      <c r="D57" s="150">
        <v>11908229.34</v>
      </c>
      <c r="E57" s="137">
        <f>F57</f>
        <v>9455060</v>
      </c>
      <c r="F57" s="122">
        <f>530060+8925000</f>
        <v>9455060</v>
      </c>
      <c r="G57" s="122">
        <f>H57</f>
        <v>1668540</v>
      </c>
      <c r="H57" s="123">
        <f>93540+1575000</f>
        <v>1668540</v>
      </c>
      <c r="I57" s="138">
        <f>(E57+F57+G57+H57)</f>
        <v>22247200</v>
      </c>
      <c r="J57" s="39">
        <f>I57/C58*100</f>
        <v>28.023297893092924</v>
      </c>
      <c r="K57" s="52"/>
      <c r="L57" s="52"/>
      <c r="M57" s="139"/>
      <c r="N57" s="129"/>
    </row>
    <row r="58" spans="1:14" ht="13.5" customHeight="1" hidden="1">
      <c r="A58" s="602"/>
      <c r="B58" s="604"/>
      <c r="C58" s="605">
        <f>C57+D57</f>
        <v>79388229.34</v>
      </c>
      <c r="D58" s="606"/>
      <c r="E58" s="151">
        <v>217489.92</v>
      </c>
      <c r="F58" s="132">
        <f>E58</f>
        <v>217489.92</v>
      </c>
      <c r="G58" s="132">
        <v>38380.58</v>
      </c>
      <c r="H58" s="152">
        <f>G58</f>
        <v>38380.58</v>
      </c>
      <c r="I58" s="149"/>
      <c r="J58" s="48" t="s">
        <v>76</v>
      </c>
      <c r="K58" s="50"/>
      <c r="L58" s="50"/>
      <c r="M58" s="145"/>
      <c r="N58" s="129"/>
    </row>
    <row r="59" spans="1:14" ht="13.5" customHeight="1" hidden="1">
      <c r="A59" s="601" t="s">
        <v>108</v>
      </c>
      <c r="B59" s="603" t="s">
        <v>109</v>
      </c>
      <c r="C59" s="120">
        <f>300000*33.832</f>
        <v>10149600</v>
      </c>
      <c r="D59" s="121">
        <f>52941*33.832</f>
        <v>1791099.912</v>
      </c>
      <c r="E59" s="137">
        <v>4216240.25</v>
      </c>
      <c r="F59" s="122">
        <f>4107156.95+109083.3</f>
        <v>4216240.25</v>
      </c>
      <c r="G59" s="122">
        <f>H59</f>
        <v>475600.8</v>
      </c>
      <c r="H59" s="123">
        <f>19250+456350.8</f>
        <v>475600.8</v>
      </c>
      <c r="I59" s="138">
        <f>(E59+F59+G59+H59+E60+F60+G60+H60)</f>
        <v>9424737.100000001</v>
      </c>
      <c r="J59" s="39">
        <f>I59/C60*100</f>
        <v>78.92951978910766</v>
      </c>
      <c r="K59" s="39"/>
      <c r="L59" s="39"/>
      <c r="M59" s="128">
        <v>15634.08</v>
      </c>
      <c r="N59" s="129"/>
    </row>
    <row r="60" spans="1:14" ht="13.5" customHeight="1" hidden="1">
      <c r="A60" s="602"/>
      <c r="B60" s="604"/>
      <c r="C60" s="638">
        <f>C59+D59</f>
        <v>11940699.912</v>
      </c>
      <c r="D60" s="639"/>
      <c r="E60" s="148">
        <v>17448.37</v>
      </c>
      <c r="F60" s="146">
        <f>E60</f>
        <v>17448.37</v>
      </c>
      <c r="G60" s="146">
        <v>3079.13</v>
      </c>
      <c r="H60" s="147">
        <f>G60</f>
        <v>3079.13</v>
      </c>
      <c r="I60" s="149"/>
      <c r="J60" s="48" t="s">
        <v>76</v>
      </c>
      <c r="K60" s="48"/>
      <c r="L60" s="48"/>
      <c r="M60" s="136"/>
      <c r="N60" s="129"/>
    </row>
    <row r="61" spans="1:14" ht="13.5" hidden="1" thickBot="1">
      <c r="A61" s="634" t="s">
        <v>110</v>
      </c>
      <c r="B61" s="603" t="s">
        <v>111</v>
      </c>
      <c r="C61" s="120">
        <v>86530186.8</v>
      </c>
      <c r="D61" s="121">
        <v>15270040.68</v>
      </c>
      <c r="E61" s="137">
        <v>935000</v>
      </c>
      <c r="F61" s="122">
        <v>935000</v>
      </c>
      <c r="G61" s="122">
        <v>165000</v>
      </c>
      <c r="H61" s="123">
        <f>G61</f>
        <v>165000</v>
      </c>
      <c r="I61" s="138">
        <f>E61+F61+G61+H61</f>
        <v>2200000</v>
      </c>
      <c r="J61" s="39">
        <f>I61/C62*100</f>
        <v>2.161095367328348</v>
      </c>
      <c r="K61" s="39"/>
      <c r="L61" s="39"/>
      <c r="M61" s="128"/>
      <c r="N61" s="129"/>
    </row>
    <row r="62" spans="1:13" ht="13.5" hidden="1" thickBot="1">
      <c r="A62" s="635"/>
      <c r="B62" s="604"/>
      <c r="C62" s="607">
        <f>C61+D61</f>
        <v>101800227.47999999</v>
      </c>
      <c r="D62" s="543"/>
      <c r="E62" s="154"/>
      <c r="F62" s="153"/>
      <c r="G62" s="153"/>
      <c r="H62" s="155"/>
      <c r="I62" s="134"/>
      <c r="J62" s="47"/>
      <c r="K62" s="47"/>
      <c r="L62" s="47"/>
      <c r="M62" s="136"/>
    </row>
    <row r="63" spans="1:13" ht="13.5" customHeight="1" hidden="1">
      <c r="A63" s="718" t="s">
        <v>9</v>
      </c>
      <c r="B63" s="720" t="s">
        <v>10</v>
      </c>
      <c r="C63" s="9">
        <v>8140791.156</v>
      </c>
      <c r="D63" s="10">
        <v>1436622.162</v>
      </c>
      <c r="E63" s="12">
        <v>0</v>
      </c>
      <c r="F63" s="11">
        <v>2681921.71</v>
      </c>
      <c r="G63" s="11">
        <v>0</v>
      </c>
      <c r="H63" s="24">
        <v>473280.3</v>
      </c>
      <c r="I63" s="156">
        <f>(F63+H63)</f>
        <v>3155202.01</v>
      </c>
      <c r="J63" s="52">
        <f>I63/C64*100</f>
        <v>32.94419803382657</v>
      </c>
      <c r="K63" s="52"/>
      <c r="L63" s="52"/>
      <c r="M63" s="128"/>
    </row>
    <row r="64" spans="1:13" ht="13.5" customHeight="1" hidden="1">
      <c r="A64" s="719"/>
      <c r="B64" s="721"/>
      <c r="C64" s="1162">
        <f>C63+D63</f>
        <v>9577413.318</v>
      </c>
      <c r="D64" s="1163"/>
      <c r="E64" s="14"/>
      <c r="F64" s="15"/>
      <c r="G64" s="15"/>
      <c r="H64" s="82"/>
      <c r="I64" s="85"/>
      <c r="J64" s="135"/>
      <c r="K64" s="135"/>
      <c r="L64" s="135"/>
      <c r="M64" s="136"/>
    </row>
    <row r="65" spans="1:13" ht="13.5" customHeight="1" hidden="1">
      <c r="A65" s="718" t="s">
        <v>11</v>
      </c>
      <c r="B65" s="720" t="s">
        <v>12</v>
      </c>
      <c r="C65" s="9">
        <v>9964244.919</v>
      </c>
      <c r="D65" s="10">
        <v>1758398.1239999998</v>
      </c>
      <c r="E65" s="25">
        <v>1382052.93</v>
      </c>
      <c r="F65" s="19">
        <f>E65</f>
        <v>1382052.93</v>
      </c>
      <c r="G65" s="19">
        <v>243891.69</v>
      </c>
      <c r="H65" s="17">
        <f>G65</f>
        <v>243891.69</v>
      </c>
      <c r="I65" s="157">
        <f>(E65+F65+G65+H65)</f>
        <v>3251889.2399999998</v>
      </c>
      <c r="J65" s="52">
        <f>I65/C66*100</f>
        <v>27.740239364720882</v>
      </c>
      <c r="K65" s="52"/>
      <c r="L65" s="52"/>
      <c r="M65" s="128"/>
    </row>
    <row r="66" spans="1:13" ht="13.5" customHeight="1" hidden="1">
      <c r="A66" s="732"/>
      <c r="B66" s="733"/>
      <c r="C66" s="1162">
        <f>C65+D65</f>
        <v>11722643.043</v>
      </c>
      <c r="D66" s="1163"/>
      <c r="E66" s="49"/>
      <c r="F66" s="22"/>
      <c r="G66" s="22"/>
      <c r="H66" s="37"/>
      <c r="I66" s="158"/>
      <c r="J66" s="50"/>
      <c r="K66" s="50"/>
      <c r="L66" s="50"/>
      <c r="M66" s="136"/>
    </row>
    <row r="67" spans="1:15" ht="13.5" customHeight="1" hidden="1">
      <c r="A67" s="718" t="s">
        <v>118</v>
      </c>
      <c r="B67" s="720" t="s">
        <v>14</v>
      </c>
      <c r="C67" s="9">
        <v>18537001.63</v>
      </c>
      <c r="D67" s="10">
        <v>3271227.73</v>
      </c>
      <c r="E67" s="25">
        <v>0</v>
      </c>
      <c r="F67" s="19">
        <v>2313635.54</v>
      </c>
      <c r="G67" s="19">
        <v>0</v>
      </c>
      <c r="H67" s="17">
        <v>408288.62</v>
      </c>
      <c r="I67" s="157">
        <f>(F67+H67)</f>
        <v>2721924.16</v>
      </c>
      <c r="J67" s="39">
        <f>I67/C68*100</f>
        <v>12.481179077254534</v>
      </c>
      <c r="K67" s="39"/>
      <c r="L67" s="39"/>
      <c r="M67" s="128"/>
      <c r="O67" t="s">
        <v>122</v>
      </c>
    </row>
    <row r="68" spans="1:13" ht="13.5" customHeight="1" hidden="1">
      <c r="A68" s="719"/>
      <c r="B68" s="721"/>
      <c r="C68" s="1162">
        <f>C67+D67</f>
        <v>21808229.36</v>
      </c>
      <c r="D68" s="1163"/>
      <c r="E68" s="26"/>
      <c r="F68" s="27"/>
      <c r="G68" s="27"/>
      <c r="H68" s="59"/>
      <c r="I68" s="159"/>
      <c r="J68" s="48" t="s">
        <v>76</v>
      </c>
      <c r="K68" s="48"/>
      <c r="L68" s="48"/>
      <c r="M68" s="136"/>
    </row>
    <row r="69" spans="1:13" ht="13.5" customHeight="1" hidden="1">
      <c r="A69" s="718" t="s">
        <v>15</v>
      </c>
      <c r="B69" s="720" t="s">
        <v>16</v>
      </c>
      <c r="C69" s="160">
        <v>10753549.239999998</v>
      </c>
      <c r="D69" s="160">
        <v>1897685.16</v>
      </c>
      <c r="E69" s="25">
        <v>1088927.34</v>
      </c>
      <c r="F69" s="19">
        <f>E69</f>
        <v>1088927.34</v>
      </c>
      <c r="G69" s="19">
        <v>192163.65</v>
      </c>
      <c r="H69" s="17">
        <f>G69</f>
        <v>192163.65</v>
      </c>
      <c r="I69" s="157">
        <f>(E69+F69+G69+H69)</f>
        <v>2562181.98</v>
      </c>
      <c r="J69" s="39">
        <f>I69/C70*100</f>
        <v>20.252426751337403</v>
      </c>
      <c r="K69" s="39"/>
      <c r="L69" s="39"/>
      <c r="M69" s="128"/>
    </row>
    <row r="70" spans="1:13" ht="13.5" customHeight="1" hidden="1">
      <c r="A70" s="719"/>
      <c r="B70" s="721"/>
      <c r="C70" s="1164">
        <f>C69+D69</f>
        <v>12651234.399999999</v>
      </c>
      <c r="D70" s="1165"/>
      <c r="E70" s="26"/>
      <c r="F70" s="27"/>
      <c r="G70" s="27"/>
      <c r="H70" s="59"/>
      <c r="I70" s="159"/>
      <c r="J70" s="48" t="s">
        <v>76</v>
      </c>
      <c r="K70" s="48"/>
      <c r="L70" s="48"/>
      <c r="M70" s="136"/>
    </row>
    <row r="71" spans="1:13" ht="13.5" customHeight="1" hidden="1">
      <c r="A71" s="718" t="s">
        <v>17</v>
      </c>
      <c r="B71" s="720" t="s">
        <v>18</v>
      </c>
      <c r="C71" s="9">
        <v>10014037.76</v>
      </c>
      <c r="D71" s="10">
        <v>1767165.198</v>
      </c>
      <c r="E71" s="25">
        <v>0</v>
      </c>
      <c r="F71" s="19">
        <v>4005608.85</v>
      </c>
      <c r="G71" s="19">
        <v>0</v>
      </c>
      <c r="H71" s="17">
        <v>706872.15</v>
      </c>
      <c r="I71" s="157">
        <f>(F71+H71)</f>
        <v>4712481</v>
      </c>
      <c r="J71" s="39">
        <f>I71/C72*100</f>
        <v>39.99999844498053</v>
      </c>
      <c r="K71" s="39"/>
      <c r="L71" s="39"/>
      <c r="M71" s="128"/>
    </row>
    <row r="72" spans="1:13" ht="13.5" customHeight="1" hidden="1">
      <c r="A72" s="719"/>
      <c r="B72" s="721"/>
      <c r="C72" s="1162">
        <f>C71+D71</f>
        <v>11781202.958</v>
      </c>
      <c r="D72" s="1163"/>
      <c r="E72" s="26"/>
      <c r="F72" s="27"/>
      <c r="G72" s="27"/>
      <c r="H72" s="59"/>
      <c r="I72" s="159"/>
      <c r="J72" s="48" t="s">
        <v>76</v>
      </c>
      <c r="K72" s="48"/>
      <c r="L72" s="48"/>
      <c r="M72" s="136"/>
    </row>
    <row r="73" spans="1:13" ht="13.5" customHeight="1" hidden="1">
      <c r="A73" s="718" t="s">
        <v>19</v>
      </c>
      <c r="B73" s="720" t="s">
        <v>20</v>
      </c>
      <c r="C73" s="9">
        <v>12848906.31</v>
      </c>
      <c r="D73" s="10">
        <v>2267434.44</v>
      </c>
      <c r="E73" s="25">
        <v>1334500</v>
      </c>
      <c r="F73" s="19">
        <f>E73</f>
        <v>1334500</v>
      </c>
      <c r="G73" s="19">
        <v>235500</v>
      </c>
      <c r="H73" s="17">
        <f>G73</f>
        <v>235500</v>
      </c>
      <c r="I73" s="157">
        <f>(E73+F73+G73+H73)</f>
        <v>3140000</v>
      </c>
      <c r="J73" s="39">
        <f>I73/C74*100</f>
        <v>20.772222933648806</v>
      </c>
      <c r="K73" s="39"/>
      <c r="L73" s="39"/>
      <c r="M73" s="128"/>
    </row>
    <row r="74" spans="1:13" ht="13.5" customHeight="1" hidden="1">
      <c r="A74" s="732"/>
      <c r="B74" s="733"/>
      <c r="C74" s="1162">
        <f>C73+D73</f>
        <v>15116340.75</v>
      </c>
      <c r="D74" s="1163"/>
      <c r="E74" s="49"/>
      <c r="F74" s="22"/>
      <c r="G74" s="22"/>
      <c r="H74" s="37"/>
      <c r="I74" s="158"/>
      <c r="J74" s="50" t="s">
        <v>76</v>
      </c>
      <c r="K74" s="50"/>
      <c r="L74" s="50"/>
      <c r="M74" s="136"/>
    </row>
    <row r="75" spans="1:13" ht="13.5" customHeight="1" hidden="1">
      <c r="A75" s="1166" t="s">
        <v>21</v>
      </c>
      <c r="B75" s="1168" t="s">
        <v>22</v>
      </c>
      <c r="C75" s="160">
        <v>15551853.34</v>
      </c>
      <c r="D75" s="160">
        <v>2744462.64</v>
      </c>
      <c r="E75" s="25">
        <v>17014.66</v>
      </c>
      <c r="F75" s="19">
        <v>17014.66</v>
      </c>
      <c r="G75" s="19">
        <v>3002.59</v>
      </c>
      <c r="H75" s="17">
        <f>G75</f>
        <v>3002.59</v>
      </c>
      <c r="I75" s="157">
        <f>(E75+F75+H75+G75)</f>
        <v>40034.5</v>
      </c>
      <c r="J75" s="39">
        <f>I75/C76*100</f>
        <v>0.21881180913011317</v>
      </c>
      <c r="K75" s="39"/>
      <c r="L75" s="39"/>
      <c r="M75" s="128"/>
    </row>
    <row r="76" spans="1:13" ht="13.5" customHeight="1" hidden="1">
      <c r="A76" s="1167"/>
      <c r="B76" s="1169"/>
      <c r="C76" s="1164">
        <f>C75+D75</f>
        <v>18296315.98</v>
      </c>
      <c r="D76" s="1165"/>
      <c r="E76" s="161">
        <v>921746.04</v>
      </c>
      <c r="F76" s="162">
        <f>E76</f>
        <v>921746.04</v>
      </c>
      <c r="G76" s="162">
        <v>162661.07</v>
      </c>
      <c r="H76" s="163">
        <f>G76</f>
        <v>162661.07</v>
      </c>
      <c r="I76" s="159"/>
      <c r="J76" s="48" t="s">
        <v>76</v>
      </c>
      <c r="K76" s="48"/>
      <c r="L76" s="48"/>
      <c r="M76" s="136"/>
    </row>
    <row r="77" spans="1:13" ht="13.5" customHeight="1" hidden="1">
      <c r="A77" s="1170" t="s">
        <v>23</v>
      </c>
      <c r="B77" s="1172" t="s">
        <v>24</v>
      </c>
      <c r="C77" s="9">
        <f>C151</f>
        <v>13333016.87</v>
      </c>
      <c r="D77" s="10">
        <f>D151</f>
        <v>2352885.34</v>
      </c>
      <c r="E77" s="25">
        <f>F77</f>
        <v>25810.89</v>
      </c>
      <c r="F77" s="19">
        <v>25810.89</v>
      </c>
      <c r="G77" s="19">
        <v>4554.86</v>
      </c>
      <c r="H77" s="17">
        <f>G77</f>
        <v>4554.86</v>
      </c>
      <c r="I77" s="157">
        <f>E77+F77+G77+H77+E78+F78+G78+H78</f>
        <v>143576.4</v>
      </c>
      <c r="J77" s="39">
        <f>I77/C78*100</f>
        <v>0.9153212743380987</v>
      </c>
      <c r="K77" s="39"/>
      <c r="L77" s="39"/>
      <c r="M77" s="128"/>
    </row>
    <row r="78" spans="1:13" ht="13.5" hidden="1" thickBot="1">
      <c r="A78" s="1171"/>
      <c r="B78" s="1173"/>
      <c r="C78" s="1174">
        <f>C77+D77</f>
        <v>15685902.209999999</v>
      </c>
      <c r="D78" s="1175"/>
      <c r="E78" s="26">
        <f>F78</f>
        <v>35209.08</v>
      </c>
      <c r="F78" s="27">
        <v>35209.08</v>
      </c>
      <c r="G78" s="27">
        <v>6213.37</v>
      </c>
      <c r="H78" s="59">
        <f>G78</f>
        <v>6213.37</v>
      </c>
      <c r="I78" s="85"/>
      <c r="J78" s="47"/>
      <c r="K78" s="47"/>
      <c r="L78" s="47"/>
      <c r="M78" s="136"/>
    </row>
    <row r="79" spans="1:13" ht="13.5" customHeight="1" hidden="1">
      <c r="A79" s="1170" t="s">
        <v>25</v>
      </c>
      <c r="B79" s="1172" t="s">
        <v>26</v>
      </c>
      <c r="C79" s="9">
        <v>13795018.342</v>
      </c>
      <c r="D79" s="10">
        <v>2434397.181</v>
      </c>
      <c r="E79" s="25">
        <f>F79</f>
        <v>28897.88</v>
      </c>
      <c r="F79" s="19">
        <v>28897.88</v>
      </c>
      <c r="G79" s="19">
        <v>5099.62</v>
      </c>
      <c r="H79" s="17">
        <f>G79</f>
        <v>5099.62</v>
      </c>
      <c r="I79" s="157">
        <f>E79+F79+G79+H79</f>
        <v>67995</v>
      </c>
      <c r="J79" s="39">
        <f>I79/C80*100</f>
        <v>0.41896148326252947</v>
      </c>
      <c r="K79" s="39"/>
      <c r="L79" s="39"/>
      <c r="M79" s="128"/>
    </row>
    <row r="80" spans="1:13" ht="13.5" hidden="1" thickBot="1">
      <c r="A80" s="1171"/>
      <c r="B80" s="1173"/>
      <c r="C80" s="1174">
        <f>C79+D79</f>
        <v>16229415.523</v>
      </c>
      <c r="D80" s="1175"/>
      <c r="E80" s="26"/>
      <c r="F80" s="27"/>
      <c r="G80" s="27"/>
      <c r="H80" s="59"/>
      <c r="I80" s="85"/>
      <c r="J80" s="47"/>
      <c r="K80" s="47"/>
      <c r="L80" s="47"/>
      <c r="M80" s="164"/>
    </row>
    <row r="81" spans="1:13" ht="13.5" hidden="1" thickBot="1">
      <c r="A81" s="1170" t="s">
        <v>27</v>
      </c>
      <c r="B81" s="1172" t="s">
        <v>28</v>
      </c>
      <c r="C81" s="9">
        <v>10706604.828</v>
      </c>
      <c r="D81" s="10">
        <v>1889400.86</v>
      </c>
      <c r="E81" s="25">
        <f>F81</f>
        <v>436956.53</v>
      </c>
      <c r="F81" s="19">
        <v>436956.53</v>
      </c>
      <c r="G81" s="19">
        <v>77109.97</v>
      </c>
      <c r="H81" s="17">
        <f>G81</f>
        <v>77109.97</v>
      </c>
      <c r="I81" s="157">
        <f>E81+F81+G81+H81+E82+F82+G82+H82</f>
        <v>2125071.5399999996</v>
      </c>
      <c r="J81" s="39">
        <f>I81/C82*100</f>
        <v>16.870995398362826</v>
      </c>
      <c r="K81" s="39"/>
      <c r="L81" s="39"/>
      <c r="M81" s="128"/>
    </row>
    <row r="82" spans="1:13" ht="13.5" hidden="1" thickBot="1">
      <c r="A82" s="1171"/>
      <c r="B82" s="1173"/>
      <c r="C82" s="1174">
        <f>C81+D81</f>
        <v>12596005.688</v>
      </c>
      <c r="D82" s="1175"/>
      <c r="E82" s="26">
        <f>F82</f>
        <v>466198.88</v>
      </c>
      <c r="F82" s="27">
        <v>466198.88</v>
      </c>
      <c r="G82" s="27">
        <v>82270.39</v>
      </c>
      <c r="H82" s="59">
        <f>G82</f>
        <v>82270.39</v>
      </c>
      <c r="I82" s="85"/>
      <c r="J82" s="47"/>
      <c r="K82" s="47"/>
      <c r="L82" s="47"/>
      <c r="M82" s="136"/>
    </row>
    <row r="83" spans="1:13" ht="13.5" hidden="1" thickBot="1">
      <c r="A83" s="718" t="s">
        <v>29</v>
      </c>
      <c r="B83" s="720" t="s">
        <v>30</v>
      </c>
      <c r="C83" s="9">
        <v>11549590.59</v>
      </c>
      <c r="D83" s="10">
        <v>2686385.12</v>
      </c>
      <c r="E83" s="25">
        <f>F83</f>
        <v>1905687.95</v>
      </c>
      <c r="F83" s="19">
        <v>1905687.95</v>
      </c>
      <c r="G83" s="19">
        <v>443253.54</v>
      </c>
      <c r="H83" s="17">
        <f>G83</f>
        <v>443253.54</v>
      </c>
      <c r="I83" s="157">
        <f>E83+F83+G83+H83</f>
        <v>4697882.9799999995</v>
      </c>
      <c r="J83" s="39">
        <f>I83/C84*100</f>
        <v>33.00007723882243</v>
      </c>
      <c r="K83" s="39"/>
      <c r="L83" s="39"/>
      <c r="M83" s="128"/>
    </row>
    <row r="84" spans="1:13" ht="13.5" hidden="1" thickBot="1">
      <c r="A84" s="719"/>
      <c r="B84" s="721"/>
      <c r="C84" s="1174">
        <f>C83+D83</f>
        <v>14235975.71</v>
      </c>
      <c r="D84" s="1175"/>
      <c r="E84" s="49"/>
      <c r="F84" s="22"/>
      <c r="G84" s="22"/>
      <c r="H84" s="37"/>
      <c r="I84" s="85"/>
      <c r="J84" s="47"/>
      <c r="K84" s="47"/>
      <c r="L84" s="47"/>
      <c r="M84" s="136"/>
    </row>
    <row r="85" spans="1:13" ht="13.5" hidden="1" thickBot="1">
      <c r="A85" s="718" t="s">
        <v>31</v>
      </c>
      <c r="B85" s="720" t="s">
        <v>32</v>
      </c>
      <c r="C85" s="9">
        <v>14411654.2</v>
      </c>
      <c r="D85" s="10">
        <v>2543223.2</v>
      </c>
      <c r="E85" s="25">
        <f>F85</f>
        <v>814688.45</v>
      </c>
      <c r="F85" s="38">
        <v>814688.45</v>
      </c>
      <c r="G85" s="19">
        <v>143768.55</v>
      </c>
      <c r="H85" s="38">
        <f aca="true" t="shared" si="0" ref="H85:H92">G85</f>
        <v>143768.55</v>
      </c>
      <c r="I85" s="157">
        <f>E85+F85+G85+H85</f>
        <v>1916914</v>
      </c>
      <c r="J85" s="39">
        <f>I85/C86*100</f>
        <v>11.305973819663244</v>
      </c>
      <c r="K85" s="39"/>
      <c r="L85" s="39"/>
      <c r="M85" s="128"/>
    </row>
    <row r="86" spans="1:13" ht="13.5" hidden="1" thickBot="1">
      <c r="A86" s="732"/>
      <c r="B86" s="733"/>
      <c r="C86" s="1176">
        <f>C85+D85</f>
        <v>16954877.4</v>
      </c>
      <c r="D86" s="1177"/>
      <c r="E86" s="165">
        <v>34898.02</v>
      </c>
      <c r="F86" s="166">
        <f>E86</f>
        <v>34898.02</v>
      </c>
      <c r="G86" s="166">
        <v>6158.48</v>
      </c>
      <c r="H86" s="166">
        <f t="shared" si="0"/>
        <v>6158.48</v>
      </c>
      <c r="I86" s="167"/>
      <c r="J86" s="52"/>
      <c r="K86" s="52"/>
      <c r="L86" s="52"/>
      <c r="M86" s="168"/>
    </row>
    <row r="87" spans="1:13" ht="13.5" hidden="1" thickBot="1">
      <c r="A87" s="719"/>
      <c r="B87" s="721"/>
      <c r="C87" s="1178"/>
      <c r="D87" s="1179"/>
      <c r="E87" s="169">
        <v>1320784.4</v>
      </c>
      <c r="F87" s="170">
        <f>E87</f>
        <v>1320784.4</v>
      </c>
      <c r="G87" s="171">
        <v>233079.6</v>
      </c>
      <c r="H87" s="170">
        <f t="shared" si="0"/>
        <v>233079.6</v>
      </c>
      <c r="I87" s="85"/>
      <c r="J87" s="47"/>
      <c r="K87" s="47"/>
      <c r="L87" s="47"/>
      <c r="M87" s="136"/>
    </row>
    <row r="88" spans="1:13" ht="13.5" customHeight="1" hidden="1">
      <c r="A88" s="1180" t="s">
        <v>33</v>
      </c>
      <c r="B88" s="1172" t="s">
        <v>34</v>
      </c>
      <c r="C88" s="9">
        <v>14632317.686999999</v>
      </c>
      <c r="D88" s="10">
        <v>2582167.824</v>
      </c>
      <c r="E88" s="61">
        <v>53944.82</v>
      </c>
      <c r="F88" s="172">
        <f>E88</f>
        <v>53944.82</v>
      </c>
      <c r="G88" s="172">
        <v>9519.68</v>
      </c>
      <c r="H88" s="173">
        <f t="shared" si="0"/>
        <v>9519.68</v>
      </c>
      <c r="I88" s="157">
        <f>E88+F88+G88+H88+E89+F89+G89+H89+E90+F90+G90+H90</f>
        <v>1801157.9999999998</v>
      </c>
      <c r="J88" s="39"/>
      <c r="K88" s="39"/>
      <c r="L88" s="39"/>
      <c r="M88" s="128"/>
    </row>
    <row r="89" spans="1:13" ht="13.5" hidden="1" thickBot="1">
      <c r="A89" s="1181"/>
      <c r="B89" s="1183"/>
      <c r="C89" s="734">
        <f>C88+D88</f>
        <v>17214485.511</v>
      </c>
      <c r="D89" s="735"/>
      <c r="E89" s="174">
        <v>179526.59</v>
      </c>
      <c r="F89" s="102">
        <f>E89</f>
        <v>179526.59</v>
      </c>
      <c r="G89" s="102">
        <v>31681.16</v>
      </c>
      <c r="H89" s="175">
        <f t="shared" si="0"/>
        <v>31681.16</v>
      </c>
      <c r="I89" s="176"/>
      <c r="J89" s="43"/>
      <c r="K89" s="43"/>
      <c r="L89" s="43"/>
      <c r="M89" s="168"/>
    </row>
    <row r="90" spans="1:13" ht="13.5" hidden="1" thickBot="1">
      <c r="A90" s="1181"/>
      <c r="B90" s="1183"/>
      <c r="C90" s="1184"/>
      <c r="D90" s="1185"/>
      <c r="E90" s="174">
        <v>532020.74</v>
      </c>
      <c r="F90" s="102">
        <f>E90</f>
        <v>532020.74</v>
      </c>
      <c r="G90" s="102">
        <v>93886.01</v>
      </c>
      <c r="H90" s="175">
        <f t="shared" si="0"/>
        <v>93886.01</v>
      </c>
      <c r="I90" s="167"/>
      <c r="J90" s="52"/>
      <c r="K90" s="52"/>
      <c r="L90" s="52"/>
      <c r="M90" s="168"/>
    </row>
    <row r="91" spans="1:13" ht="13.5" hidden="1" thickBot="1">
      <c r="A91" s="1181"/>
      <c r="B91" s="1183"/>
      <c r="C91" s="1184"/>
      <c r="D91" s="1185"/>
      <c r="E91" s="177">
        <f>F91</f>
        <v>576999.76</v>
      </c>
      <c r="F91" s="178">
        <v>576999.76</v>
      </c>
      <c r="G91" s="102">
        <v>101823.49</v>
      </c>
      <c r="H91" s="175">
        <f t="shared" si="0"/>
        <v>101823.49</v>
      </c>
      <c r="I91" s="176"/>
      <c r="J91" s="43"/>
      <c r="K91" s="43"/>
      <c r="L91" s="43"/>
      <c r="M91" s="168"/>
    </row>
    <row r="92" spans="1:13" ht="13.5" hidden="1" thickBot="1">
      <c r="A92" s="1182"/>
      <c r="B92" s="1173"/>
      <c r="C92" s="1186"/>
      <c r="D92" s="1187"/>
      <c r="E92" s="179">
        <v>403053.85</v>
      </c>
      <c r="F92" s="130">
        <f>E92</f>
        <v>403053.85</v>
      </c>
      <c r="G92" s="180">
        <v>71127.15</v>
      </c>
      <c r="H92" s="181">
        <f t="shared" si="0"/>
        <v>71127.15</v>
      </c>
      <c r="I92" s="84"/>
      <c r="J92" s="41"/>
      <c r="K92" s="41"/>
      <c r="L92" s="41"/>
      <c r="M92" s="136"/>
    </row>
    <row r="93" spans="1:13" ht="13.5" customHeight="1" hidden="1">
      <c r="A93" s="762" t="s">
        <v>123</v>
      </c>
      <c r="B93" s="720" t="s">
        <v>36</v>
      </c>
      <c r="C93" s="9">
        <v>9092470.26</v>
      </c>
      <c r="D93" s="10">
        <v>1604545.86</v>
      </c>
      <c r="E93" s="46">
        <f>F93</f>
        <v>1818494.05</v>
      </c>
      <c r="F93" s="19">
        <v>1818494.05</v>
      </c>
      <c r="G93" s="38">
        <f>H93</f>
        <v>320909.17</v>
      </c>
      <c r="H93" s="17">
        <v>320909.17</v>
      </c>
      <c r="I93" s="157">
        <f>E93+F93+G93+H93</f>
        <v>4278806.44</v>
      </c>
      <c r="J93" s="39">
        <f>I93/C94*100</f>
        <v>39.9999999252128</v>
      </c>
      <c r="K93" s="39"/>
      <c r="L93" s="39"/>
      <c r="M93" s="128"/>
    </row>
    <row r="94" spans="1:13" ht="13.5" customHeight="1" hidden="1">
      <c r="A94" s="763"/>
      <c r="B94" s="733"/>
      <c r="C94" s="1176">
        <f>C93+D93</f>
        <v>10697016.12</v>
      </c>
      <c r="D94" s="1177"/>
      <c r="E94" s="45"/>
      <c r="F94" s="31"/>
      <c r="G94" s="40"/>
      <c r="H94" s="29"/>
      <c r="I94" s="85"/>
      <c r="J94" s="47"/>
      <c r="K94" s="47"/>
      <c r="L94" s="47"/>
      <c r="M94" s="136"/>
    </row>
    <row r="95" spans="1:13" ht="13.5" customHeight="1" hidden="1">
      <c r="A95" s="762" t="s">
        <v>37</v>
      </c>
      <c r="B95" s="720" t="s">
        <v>38</v>
      </c>
      <c r="C95" s="9">
        <v>10534508.879999999</v>
      </c>
      <c r="D95" s="10">
        <v>1859029.05</v>
      </c>
      <c r="E95" s="25">
        <v>0</v>
      </c>
      <c r="F95" s="19">
        <v>4213802.89</v>
      </c>
      <c r="G95" s="19">
        <v>0</v>
      </c>
      <c r="H95" s="38">
        <v>743612.27</v>
      </c>
      <c r="I95" s="157">
        <f>F95+H95</f>
        <v>4957415.16</v>
      </c>
      <c r="J95" s="39">
        <f>I95/C96*100</f>
        <v>39.99999990317535</v>
      </c>
      <c r="K95" s="39"/>
      <c r="L95" s="39"/>
      <c r="M95" s="128"/>
    </row>
    <row r="96" spans="1:13" ht="13.5" customHeight="1" hidden="1">
      <c r="A96" s="722"/>
      <c r="B96" s="733"/>
      <c r="C96" s="1174">
        <f>C95+D95</f>
        <v>12393537.93</v>
      </c>
      <c r="D96" s="1175"/>
      <c r="E96" s="30"/>
      <c r="F96" s="31"/>
      <c r="G96" s="31"/>
      <c r="H96" s="40"/>
      <c r="I96" s="84"/>
      <c r="J96" s="41"/>
      <c r="K96" s="41"/>
      <c r="L96" s="41"/>
      <c r="M96" s="136"/>
    </row>
    <row r="97" spans="1:13" ht="13.5" customHeight="1" hidden="1">
      <c r="A97" s="762" t="s">
        <v>39</v>
      </c>
      <c r="B97" s="720" t="s">
        <v>40</v>
      </c>
      <c r="C97" s="9">
        <v>10987820.459999999</v>
      </c>
      <c r="D97" s="10">
        <v>1939027.14</v>
      </c>
      <c r="E97" s="182">
        <v>426090.54</v>
      </c>
      <c r="F97" s="183">
        <f aca="true" t="shared" si="1" ref="F97:F102">E97</f>
        <v>426090.54</v>
      </c>
      <c r="G97" s="183">
        <v>75192.44</v>
      </c>
      <c r="H97" s="184">
        <f aca="true" t="shared" si="2" ref="H97:H102">G97</f>
        <v>75192.44</v>
      </c>
      <c r="I97" s="185"/>
      <c r="J97" s="39"/>
      <c r="K97" s="39"/>
      <c r="L97" s="39"/>
      <c r="M97" s="128"/>
    </row>
    <row r="98" spans="1:13" ht="13.5" customHeight="1" hidden="1">
      <c r="A98" s="722"/>
      <c r="B98" s="733"/>
      <c r="C98" s="1176">
        <f>C97+D97</f>
        <v>12926847.6</v>
      </c>
      <c r="D98" s="1177"/>
      <c r="E98" s="186">
        <v>581028.13</v>
      </c>
      <c r="F98" s="187">
        <f t="shared" si="1"/>
        <v>581028.13</v>
      </c>
      <c r="G98" s="187">
        <v>102534.37</v>
      </c>
      <c r="H98" s="188">
        <f t="shared" si="2"/>
        <v>102534.37</v>
      </c>
      <c r="I98" s="176"/>
      <c r="J98" s="43"/>
      <c r="K98" s="43"/>
      <c r="L98" s="43"/>
      <c r="M98" s="168"/>
    </row>
    <row r="99" spans="1:13" ht="13.5" customHeight="1" hidden="1">
      <c r="A99" s="763"/>
      <c r="B99" s="721"/>
      <c r="C99" s="1178"/>
      <c r="D99" s="1179"/>
      <c r="E99" s="169">
        <v>460190.21</v>
      </c>
      <c r="F99" s="171">
        <f t="shared" si="1"/>
        <v>460190.21</v>
      </c>
      <c r="G99" s="171">
        <v>81210.04</v>
      </c>
      <c r="H99" s="170">
        <f t="shared" si="2"/>
        <v>81210.04</v>
      </c>
      <c r="I99" s="85"/>
      <c r="J99" s="47"/>
      <c r="K99" s="47"/>
      <c r="L99" s="47"/>
      <c r="M99" s="136"/>
    </row>
    <row r="100" spans="1:13" ht="13.5" customHeight="1" hidden="1">
      <c r="A100" s="762" t="s">
        <v>41</v>
      </c>
      <c r="B100" s="720" t="s">
        <v>42</v>
      </c>
      <c r="C100" s="9">
        <v>29352281.801999997</v>
      </c>
      <c r="D100" s="10">
        <v>5179810.52</v>
      </c>
      <c r="E100" s="182">
        <v>280539.52</v>
      </c>
      <c r="F100" s="183">
        <f t="shared" si="1"/>
        <v>280539.52</v>
      </c>
      <c r="G100" s="183">
        <v>49506.98</v>
      </c>
      <c r="H100" s="184">
        <f t="shared" si="2"/>
        <v>49506.98</v>
      </c>
      <c r="I100" s="185"/>
      <c r="J100" s="39"/>
      <c r="K100" s="39"/>
      <c r="L100" s="39"/>
      <c r="M100" s="128"/>
    </row>
    <row r="101" spans="1:13" ht="13.5" customHeight="1" hidden="1">
      <c r="A101" s="763"/>
      <c r="B101" s="721"/>
      <c r="C101" s="1174">
        <f>C100+D100</f>
        <v>34532092.322</v>
      </c>
      <c r="D101" s="1175"/>
      <c r="E101" s="189">
        <v>673159.84</v>
      </c>
      <c r="F101" s="190">
        <f t="shared" si="1"/>
        <v>673159.84</v>
      </c>
      <c r="G101" s="190">
        <v>118792.91</v>
      </c>
      <c r="H101" s="191">
        <f t="shared" si="2"/>
        <v>118792.91</v>
      </c>
      <c r="I101" s="84"/>
      <c r="J101" s="41"/>
      <c r="K101" s="41"/>
      <c r="L101" s="41"/>
      <c r="M101" s="136"/>
    </row>
    <row r="102" spans="1:13" ht="13.5" customHeight="1" hidden="1">
      <c r="A102" s="762" t="s">
        <v>124</v>
      </c>
      <c r="B102" s="720" t="s">
        <v>44</v>
      </c>
      <c r="C102" s="9">
        <v>14921103.996</v>
      </c>
      <c r="D102" s="10">
        <v>2633128.16</v>
      </c>
      <c r="E102" s="182">
        <v>1003364.93</v>
      </c>
      <c r="F102" s="183">
        <f t="shared" si="1"/>
        <v>1003364.93</v>
      </c>
      <c r="G102" s="183">
        <v>177064.4</v>
      </c>
      <c r="H102" s="184">
        <f t="shared" si="2"/>
        <v>177064.4</v>
      </c>
      <c r="I102" s="185"/>
      <c r="J102" s="39"/>
      <c r="K102" s="39"/>
      <c r="L102" s="39"/>
      <c r="M102" s="128"/>
    </row>
    <row r="103" spans="1:13" ht="13.5" customHeight="1" hidden="1">
      <c r="A103" s="763"/>
      <c r="B103" s="721"/>
      <c r="C103" s="1174">
        <f>C102+D102</f>
        <v>17554232.156</v>
      </c>
      <c r="D103" s="1175"/>
      <c r="E103" s="169"/>
      <c r="F103" s="171"/>
      <c r="G103" s="171"/>
      <c r="H103" s="170"/>
      <c r="I103" s="85"/>
      <c r="J103" s="47"/>
      <c r="K103" s="47"/>
      <c r="L103" s="47"/>
      <c r="M103" s="136"/>
    </row>
    <row r="104" spans="1:13" ht="13.5" customHeight="1" hidden="1">
      <c r="A104" s="762" t="s">
        <v>45</v>
      </c>
      <c r="B104" s="720" t="s">
        <v>46</v>
      </c>
      <c r="C104" s="9">
        <v>11514765.93</v>
      </c>
      <c r="D104" s="10">
        <v>2032029.1</v>
      </c>
      <c r="E104" s="182">
        <v>1710354.15</v>
      </c>
      <c r="F104" s="183">
        <f>E104</f>
        <v>1710354.15</v>
      </c>
      <c r="G104" s="183">
        <v>301827.2</v>
      </c>
      <c r="H104" s="184">
        <f>G104</f>
        <v>301827.2</v>
      </c>
      <c r="I104" s="185"/>
      <c r="J104" s="39"/>
      <c r="K104" s="39"/>
      <c r="L104" s="39"/>
      <c r="M104" s="128"/>
    </row>
    <row r="105" spans="1:13" ht="13.5" customHeight="1" hidden="1">
      <c r="A105" s="763"/>
      <c r="B105" s="721"/>
      <c r="C105" s="1174">
        <f>C104+D104</f>
        <v>13546795.03</v>
      </c>
      <c r="D105" s="1175"/>
      <c r="E105" s="189"/>
      <c r="F105" s="190"/>
      <c r="G105" s="190"/>
      <c r="H105" s="191"/>
      <c r="I105" s="84"/>
      <c r="J105" s="41"/>
      <c r="K105" s="41"/>
      <c r="L105" s="41"/>
      <c r="M105" s="136"/>
    </row>
    <row r="106" spans="1:13" ht="13.5" customHeight="1" hidden="1">
      <c r="A106" s="762" t="s">
        <v>47</v>
      </c>
      <c r="B106" s="720" t="s">
        <v>48</v>
      </c>
      <c r="C106" s="548"/>
      <c r="D106" s="549"/>
      <c r="E106" s="182">
        <v>0</v>
      </c>
      <c r="F106" s="183">
        <v>4372916.36</v>
      </c>
      <c r="G106" s="183">
        <v>0</v>
      </c>
      <c r="H106" s="184">
        <v>797977.44</v>
      </c>
      <c r="I106" s="185"/>
      <c r="J106" s="39"/>
      <c r="K106" s="39"/>
      <c r="L106" s="39"/>
      <c r="M106" s="128"/>
    </row>
    <row r="107" spans="1:13" ht="13.5" customHeight="1" hidden="1">
      <c r="A107" s="763"/>
      <c r="B107" s="721"/>
      <c r="C107" s="546"/>
      <c r="D107" s="547"/>
      <c r="E107" s="14"/>
      <c r="F107" s="15"/>
      <c r="G107" s="15"/>
      <c r="H107" s="53"/>
      <c r="I107" s="85"/>
      <c r="J107" s="47"/>
      <c r="K107" s="47"/>
      <c r="L107" s="47"/>
      <c r="M107" s="136"/>
    </row>
    <row r="108" spans="1:14" ht="12.75" customHeight="1">
      <c r="A108" s="1133" t="s">
        <v>324</v>
      </c>
      <c r="B108" s="1133" t="s">
        <v>126</v>
      </c>
      <c r="C108" s="192">
        <f>1447672.16</f>
        <v>1447672.16</v>
      </c>
      <c r="D108" s="193">
        <v>255471.56</v>
      </c>
      <c r="E108" s="25">
        <v>15752.16</v>
      </c>
      <c r="F108" s="19">
        <v>15752.16</v>
      </c>
      <c r="G108" s="19">
        <v>2780.24</v>
      </c>
      <c r="H108" s="39">
        <v>2780.24</v>
      </c>
      <c r="I108" s="1035">
        <f>SUM(E108:H120)</f>
        <v>1304140.3829177455</v>
      </c>
      <c r="J108" s="1035">
        <f>I108/C121*100</f>
        <v>76.57253862978432</v>
      </c>
      <c r="K108" s="1160">
        <f>(998302.3+1361292+1982515.36)/30.126+1604518.66/30.126+63342*2+139216+50570+134116+67058*2</f>
        <v>782093.8980282813</v>
      </c>
      <c r="L108" s="1035">
        <f>K108/C108*100</f>
        <v>54.02424109808683</v>
      </c>
      <c r="M108" s="1215">
        <f>308548.54+69608*2+25285*2+67058*2</f>
        <v>632450.54</v>
      </c>
      <c r="N108" s="1217">
        <f>M108/C108*100</f>
        <v>43.687414697537605</v>
      </c>
    </row>
    <row r="109" spans="1:14" ht="12.75">
      <c r="A109" s="1134"/>
      <c r="B109" s="1134"/>
      <c r="C109" s="1135">
        <f>C108+D108</f>
        <v>1703143.72</v>
      </c>
      <c r="D109" s="1136"/>
      <c r="E109" s="12">
        <v>3905.32</v>
      </c>
      <c r="F109" s="11">
        <v>3905.24</v>
      </c>
      <c r="G109" s="33">
        <v>689.18</v>
      </c>
      <c r="H109" s="52">
        <v>689.16</v>
      </c>
      <c r="I109" s="1036"/>
      <c r="J109" s="1036"/>
      <c r="K109" s="1161"/>
      <c r="L109" s="1036"/>
      <c r="M109" s="1216"/>
      <c r="N109" s="1218"/>
    </row>
    <row r="110" spans="1:14" ht="12.75">
      <c r="A110" s="1134"/>
      <c r="B110" s="1134"/>
      <c r="C110" s="1137"/>
      <c r="D110" s="1138"/>
      <c r="E110" s="12">
        <v>17761.5</v>
      </c>
      <c r="F110" s="11">
        <v>17761.5</v>
      </c>
      <c r="G110" s="11">
        <v>3134.38</v>
      </c>
      <c r="H110" s="13">
        <v>3134.38</v>
      </c>
      <c r="I110" s="1036"/>
      <c r="J110" s="1036"/>
      <c r="K110" s="1161"/>
      <c r="L110" s="1036"/>
      <c r="M110" s="1216"/>
      <c r="N110" s="1218"/>
    </row>
    <row r="111" spans="1:14" ht="12.75">
      <c r="A111" s="1134"/>
      <c r="B111" s="1134"/>
      <c r="C111" s="1137"/>
      <c r="D111" s="1138"/>
      <c r="E111" s="12">
        <v>48621.20759476864</v>
      </c>
      <c r="F111" s="11">
        <v>48621.20759476864</v>
      </c>
      <c r="G111" s="11">
        <v>8580.213104959172</v>
      </c>
      <c r="H111" s="52">
        <v>8580.213104959172</v>
      </c>
      <c r="I111" s="1036"/>
      <c r="J111" s="1036"/>
      <c r="K111" s="1161"/>
      <c r="L111" s="1036"/>
      <c r="M111" s="1216"/>
      <c r="N111" s="1218"/>
    </row>
    <row r="112" spans="1:14" ht="12.75">
      <c r="A112" s="1134"/>
      <c r="B112" s="1134"/>
      <c r="C112" s="1137"/>
      <c r="D112" s="1138"/>
      <c r="E112" s="12">
        <v>95538.24</v>
      </c>
      <c r="F112" s="11">
        <v>95538.24</v>
      </c>
      <c r="G112" s="194">
        <v>16859.68930491934</v>
      </c>
      <c r="H112" s="35">
        <v>16859.68930491934</v>
      </c>
      <c r="I112" s="1036"/>
      <c r="J112" s="1036"/>
      <c r="K112" s="1161"/>
      <c r="L112" s="1036"/>
      <c r="M112" s="1216"/>
      <c r="N112" s="1218"/>
    </row>
    <row r="113" spans="1:14" ht="12.75">
      <c r="A113" s="1134"/>
      <c r="B113" s="1134"/>
      <c r="C113" s="1137"/>
      <c r="D113" s="1138"/>
      <c r="E113" s="34">
        <v>1548.74</v>
      </c>
      <c r="F113" s="33">
        <v>1548.74</v>
      </c>
      <c r="G113" s="42">
        <v>273.30677819823404</v>
      </c>
      <c r="H113" s="35">
        <v>273.30677819823404</v>
      </c>
      <c r="I113" s="1036"/>
      <c r="J113" s="1036"/>
      <c r="K113" s="1161"/>
      <c r="L113" s="1036"/>
      <c r="M113" s="1216"/>
      <c r="N113" s="1218"/>
    </row>
    <row r="114" spans="1:14" ht="12.75">
      <c r="A114" s="1134"/>
      <c r="B114" s="1134"/>
      <c r="C114" s="1137"/>
      <c r="D114" s="1138"/>
      <c r="E114" s="34">
        <v>22851.19166168758</v>
      </c>
      <c r="F114" s="33">
        <v>22851.19166168758</v>
      </c>
      <c r="G114" s="42">
        <v>4032.563234415455</v>
      </c>
      <c r="H114" s="35">
        <v>4032.563234415455</v>
      </c>
      <c r="I114" s="1036"/>
      <c r="J114" s="1036"/>
      <c r="K114" s="1161"/>
      <c r="L114" s="1036"/>
      <c r="M114" s="1216"/>
      <c r="N114" s="1218"/>
    </row>
    <row r="115" spans="1:16" ht="12.75">
      <c r="A115" s="1134"/>
      <c r="B115" s="1134"/>
      <c r="C115" s="1137"/>
      <c r="D115" s="1138"/>
      <c r="E115" s="34">
        <v>48621.20759476864</v>
      </c>
      <c r="F115" s="33">
        <v>48621.20759476864</v>
      </c>
      <c r="G115" s="42">
        <v>8580.213104959172</v>
      </c>
      <c r="H115" s="35">
        <v>8580.213104959172</v>
      </c>
      <c r="I115" s="1036"/>
      <c r="J115" s="1036"/>
      <c r="K115" s="1161"/>
      <c r="L115" s="1036"/>
      <c r="M115" s="1216"/>
      <c r="N115" s="1218"/>
      <c r="P115" s="1"/>
    </row>
    <row r="116" spans="1:14" ht="12.75">
      <c r="A116" s="1134"/>
      <c r="B116" s="1134"/>
      <c r="C116" s="1137"/>
      <c r="D116" s="1138"/>
      <c r="E116" s="34">
        <v>1342.6465511518288</v>
      </c>
      <c r="F116" s="33">
        <v>1342.6465511518288</v>
      </c>
      <c r="G116" s="42">
        <v>236.937529044679</v>
      </c>
      <c r="H116" s="35">
        <v>236.937529044679</v>
      </c>
      <c r="I116" s="1036"/>
      <c r="J116" s="1036"/>
      <c r="K116" s="1161"/>
      <c r="L116" s="1036"/>
      <c r="M116" s="1216"/>
      <c r="N116" s="1218"/>
    </row>
    <row r="117" spans="1:14" ht="12.75">
      <c r="A117" s="1134"/>
      <c r="B117" s="1134"/>
      <c r="C117" s="1137"/>
      <c r="D117" s="1138"/>
      <c r="E117" s="34">
        <v>63877.87</v>
      </c>
      <c r="F117" s="33">
        <v>63877.87</v>
      </c>
      <c r="G117" s="42">
        <v>11272.57</v>
      </c>
      <c r="H117" s="35">
        <v>11272.57</v>
      </c>
      <c r="I117" s="1036"/>
      <c r="J117" s="1036"/>
      <c r="K117" s="1161"/>
      <c r="L117" s="1036"/>
      <c r="M117" s="1216"/>
      <c r="N117" s="1218"/>
    </row>
    <row r="118" spans="1:14" ht="12.75">
      <c r="A118" s="1134"/>
      <c r="B118" s="1134"/>
      <c r="C118" s="1137"/>
      <c r="D118" s="1138"/>
      <c r="E118" s="30">
        <v>54760.41</v>
      </c>
      <c r="F118" s="31">
        <v>54760.41</v>
      </c>
      <c r="G118" s="40">
        <v>9663.61</v>
      </c>
      <c r="H118" s="29">
        <v>9663.6</v>
      </c>
      <c r="I118" s="1036"/>
      <c r="J118" s="1036"/>
      <c r="K118" s="1161"/>
      <c r="L118" s="1036"/>
      <c r="M118" s="1216"/>
      <c r="N118" s="1218"/>
    </row>
    <row r="119" spans="1:14" ht="12.75">
      <c r="A119" s="1134"/>
      <c r="B119" s="1134"/>
      <c r="C119" s="1137"/>
      <c r="D119" s="1138"/>
      <c r="E119" s="34">
        <v>9678.82</v>
      </c>
      <c r="F119" s="33">
        <v>9678.82</v>
      </c>
      <c r="G119" s="42">
        <v>1708.03</v>
      </c>
      <c r="H119" s="35">
        <v>1708.03</v>
      </c>
      <c r="I119" s="1036"/>
      <c r="J119" s="1036"/>
      <c r="K119" s="1161"/>
      <c r="L119" s="1036"/>
      <c r="M119" s="1216"/>
      <c r="N119" s="1218"/>
    </row>
    <row r="120" spans="1:14" ht="13.5" thickBot="1">
      <c r="A120" s="1128"/>
      <c r="B120" s="1128"/>
      <c r="C120" s="1146"/>
      <c r="D120" s="1147"/>
      <c r="E120" s="34">
        <v>170000</v>
      </c>
      <c r="F120" s="33">
        <v>170000</v>
      </c>
      <c r="G120" s="42">
        <v>30000</v>
      </c>
      <c r="H120" s="35">
        <v>30000</v>
      </c>
      <c r="I120" s="1157"/>
      <c r="J120" s="1157"/>
      <c r="K120" s="1132"/>
      <c r="L120" s="1157"/>
      <c r="M120" s="1157"/>
      <c r="N120" s="1157"/>
    </row>
    <row r="121" spans="1:14" ht="13.5" thickBot="1">
      <c r="A121" s="195" t="s">
        <v>75</v>
      </c>
      <c r="B121" s="195" t="s">
        <v>76</v>
      </c>
      <c r="C121" s="1188">
        <f>C108+D108</f>
        <v>1703143.72</v>
      </c>
      <c r="D121" s="1189"/>
      <c r="E121" s="776">
        <f>SUM(E108:E120)</f>
        <v>554259.3134023766</v>
      </c>
      <c r="F121" s="777">
        <f>SUM(F108:F120)</f>
        <v>554259.2334023768</v>
      </c>
      <c r="G121" s="777">
        <f>SUM(G108:G120)</f>
        <v>97810.93305649605</v>
      </c>
      <c r="H121" s="778">
        <f>SUM(H108:H120)</f>
        <v>97810.90305649606</v>
      </c>
      <c r="I121" s="196">
        <f>I108</f>
        <v>1304140.3829177455</v>
      </c>
      <c r="J121" s="197">
        <f>I121/C121*100</f>
        <v>76.57253862978432</v>
      </c>
      <c r="K121" s="196">
        <f>K108</f>
        <v>782093.8980282813</v>
      </c>
      <c r="L121" s="196">
        <f>L108</f>
        <v>54.02424109808683</v>
      </c>
      <c r="M121" s="196">
        <f>M108</f>
        <v>632450.54</v>
      </c>
      <c r="N121" s="196">
        <f>N108</f>
        <v>43.687414697537605</v>
      </c>
    </row>
    <row r="122" spans="1:10" ht="15.75" customHeight="1">
      <c r="A122" t="s">
        <v>91</v>
      </c>
      <c r="E122" s="794"/>
      <c r="F122" s="795"/>
      <c r="I122" s="198"/>
      <c r="J122" s="198"/>
    </row>
    <row r="123" ht="12.75" hidden="1"/>
    <row r="124" spans="9:12" ht="13.5" hidden="1" thickBot="1">
      <c r="I124" s="786" t="s">
        <v>87</v>
      </c>
      <c r="J124" s="786"/>
      <c r="K124" s="118"/>
      <c r="L124" s="118"/>
    </row>
    <row r="125" spans="1:12" ht="16.5" customHeight="1" hidden="1">
      <c r="A125" s="754" t="s">
        <v>114</v>
      </c>
      <c r="B125" s="754" t="s">
        <v>100</v>
      </c>
      <c r="C125" s="1190" t="s">
        <v>2</v>
      </c>
      <c r="D125" s="1191"/>
      <c r="E125" s="1192" t="s">
        <v>127</v>
      </c>
      <c r="F125" s="1193"/>
      <c r="G125" s="1193"/>
      <c r="H125" s="1193"/>
      <c r="I125" s="1194"/>
      <c r="J125" s="1195" t="s">
        <v>128</v>
      </c>
      <c r="K125" s="199"/>
      <c r="L125" s="199"/>
    </row>
    <row r="126" spans="1:13" ht="62.25" customHeight="1" hidden="1">
      <c r="A126" s="755"/>
      <c r="B126" s="755"/>
      <c r="C126" s="6" t="s">
        <v>3</v>
      </c>
      <c r="D126" s="8" t="s">
        <v>4</v>
      </c>
      <c r="E126" s="6" t="s">
        <v>5</v>
      </c>
      <c r="F126" s="7" t="s">
        <v>6</v>
      </c>
      <c r="G126" s="7" t="s">
        <v>7</v>
      </c>
      <c r="H126" s="119" t="s">
        <v>8</v>
      </c>
      <c r="I126" s="200" t="s">
        <v>129</v>
      </c>
      <c r="J126" s="1196"/>
      <c r="K126" s="199"/>
      <c r="L126" s="199"/>
      <c r="M126" s="199" t="s">
        <v>130</v>
      </c>
    </row>
    <row r="127" spans="1:13" ht="26.25" customHeight="1" hidden="1">
      <c r="A127" s="634" t="s">
        <v>101</v>
      </c>
      <c r="B127" s="636" t="s">
        <v>102</v>
      </c>
      <c r="C127" s="201">
        <v>1342000</v>
      </c>
      <c r="D127" s="202">
        <v>236824</v>
      </c>
      <c r="E127" s="124">
        <f>880639.95+4175833.25</f>
        <v>5056473.2</v>
      </c>
      <c r="F127" s="125">
        <f>880639.95+4175833.25</f>
        <v>5056473.2</v>
      </c>
      <c r="G127" s="125"/>
      <c r="H127" s="204"/>
      <c r="I127" s="205">
        <f>SUM(E127:H127)/32.473</f>
        <v>311426.30493024975</v>
      </c>
      <c r="J127" s="39">
        <f>I127/C128*100</f>
        <v>19.725207175103098</v>
      </c>
      <c r="K127" s="40"/>
      <c r="L127" s="40"/>
      <c r="M127">
        <v>32.473</v>
      </c>
    </row>
    <row r="128" spans="1:12" ht="13.5" customHeight="1" hidden="1">
      <c r="A128" s="635"/>
      <c r="B128" s="637"/>
      <c r="C128" s="1197">
        <f>SUM(C127:D127)</f>
        <v>1578824</v>
      </c>
      <c r="D128" s="1198"/>
      <c r="E128" s="154"/>
      <c r="F128" s="153"/>
      <c r="G128" s="153"/>
      <c r="H128" s="206"/>
      <c r="I128" s="154"/>
      <c r="J128" s="135"/>
      <c r="K128" s="207"/>
      <c r="L128" s="207"/>
    </row>
    <row r="129" spans="1:13" ht="12.75" customHeight="1" hidden="1">
      <c r="A129" s="634" t="s">
        <v>103</v>
      </c>
      <c r="B129" s="636" t="s">
        <v>104</v>
      </c>
      <c r="C129" s="201">
        <v>1500000</v>
      </c>
      <c r="D129" s="202">
        <v>264706</v>
      </c>
      <c r="E129" s="137">
        <f>F129</f>
        <v>9297955.25</v>
      </c>
      <c r="F129" s="122">
        <f>9137500+160455.25</f>
        <v>9297955.25</v>
      </c>
      <c r="G129" s="122"/>
      <c r="H129" s="203"/>
      <c r="I129" s="208">
        <f>(E129+F129+G129+H129)/31.73</f>
        <v>586067.1446580524</v>
      </c>
      <c r="J129" s="52">
        <f>I129/C130*100</f>
        <v>33.21046931659168</v>
      </c>
      <c r="K129" s="40"/>
      <c r="L129" s="40"/>
      <c r="M129">
        <v>31.73</v>
      </c>
    </row>
    <row r="130" spans="1:12" ht="13.5" customHeight="1" hidden="1">
      <c r="A130" s="599"/>
      <c r="B130" s="600"/>
      <c r="C130" s="1197">
        <f>C129+D129</f>
        <v>1764706</v>
      </c>
      <c r="D130" s="1198"/>
      <c r="E130" s="210"/>
      <c r="F130" s="140"/>
      <c r="G130" s="140"/>
      <c r="H130" s="209"/>
      <c r="I130" s="210"/>
      <c r="J130" s="50"/>
      <c r="K130" s="40"/>
      <c r="L130" s="40"/>
    </row>
    <row r="131" spans="1:13" ht="12.75" customHeight="1" hidden="1">
      <c r="A131" s="634" t="s">
        <v>117</v>
      </c>
      <c r="B131" s="636" t="s">
        <v>105</v>
      </c>
      <c r="C131" s="201">
        <v>1500000</v>
      </c>
      <c r="D131" s="202">
        <v>264706</v>
      </c>
      <c r="E131" s="137">
        <f>F131</f>
        <v>10115000</v>
      </c>
      <c r="F131" s="122">
        <f>935000+9180000</f>
        <v>10115000</v>
      </c>
      <c r="G131" s="122"/>
      <c r="H131" s="203"/>
      <c r="I131" s="208">
        <f>(E131+F131+G131+H131)/32.404</f>
        <v>624305.6412788543</v>
      </c>
      <c r="J131" s="39">
        <f>I131/C132*100</f>
        <v>35.3773173139806</v>
      </c>
      <c r="K131" s="40"/>
      <c r="L131" s="40"/>
      <c r="M131">
        <v>32.404</v>
      </c>
    </row>
    <row r="132" spans="1:12" ht="13.5" customHeight="1" hidden="1">
      <c r="A132" s="635"/>
      <c r="B132" s="637"/>
      <c r="C132" s="1197">
        <f>C131+D131</f>
        <v>1764706</v>
      </c>
      <c r="D132" s="1198"/>
      <c r="E132" s="148" t="s">
        <v>76</v>
      </c>
      <c r="F132" s="146" t="s">
        <v>76</v>
      </c>
      <c r="G132" s="146"/>
      <c r="H132" s="211"/>
      <c r="I132" s="148" t="s">
        <v>76</v>
      </c>
      <c r="J132" s="48" t="s">
        <v>76</v>
      </c>
      <c r="K132" s="40"/>
      <c r="L132" s="40"/>
    </row>
    <row r="133" spans="1:13" ht="12.75" customHeight="1" hidden="1">
      <c r="A133" s="601" t="s">
        <v>106</v>
      </c>
      <c r="B133" s="603" t="s">
        <v>107</v>
      </c>
      <c r="C133" s="201">
        <v>2000000</v>
      </c>
      <c r="D133" s="202">
        <v>352941</v>
      </c>
      <c r="E133" s="137">
        <f>F133</f>
        <v>9455060</v>
      </c>
      <c r="F133" s="122">
        <f>530060+8925000</f>
        <v>9455060</v>
      </c>
      <c r="G133" s="122"/>
      <c r="H133" s="203"/>
      <c r="I133" s="208">
        <f>(E133+F133+G133+H133)/33.181</f>
        <v>569908.0799252585</v>
      </c>
      <c r="J133" s="39">
        <f>I133/C134*100</f>
        <v>24.221095213405626</v>
      </c>
      <c r="K133" s="40"/>
      <c r="L133" s="40"/>
      <c r="M133">
        <v>33.181</v>
      </c>
    </row>
    <row r="134" spans="1:12" ht="13.5" customHeight="1" hidden="1">
      <c r="A134" s="602"/>
      <c r="B134" s="604"/>
      <c r="C134" s="1197">
        <f>C133+D133</f>
        <v>2352941</v>
      </c>
      <c r="D134" s="1198"/>
      <c r="E134" s="148"/>
      <c r="F134" s="146"/>
      <c r="G134" s="146"/>
      <c r="H134" s="211"/>
      <c r="I134" s="148"/>
      <c r="J134" s="48" t="s">
        <v>76</v>
      </c>
      <c r="K134" s="40"/>
      <c r="L134" s="40"/>
    </row>
    <row r="135" spans="1:13" ht="12.75" customHeight="1" hidden="1">
      <c r="A135" s="601" t="s">
        <v>108</v>
      </c>
      <c r="B135" s="603" t="s">
        <v>109</v>
      </c>
      <c r="C135" s="201">
        <v>300000</v>
      </c>
      <c r="D135" s="202">
        <v>150000</v>
      </c>
      <c r="E135" s="137">
        <v>4216240.25</v>
      </c>
      <c r="F135" s="122">
        <f>4107156.95+109083.3</f>
        <v>4216240.25</v>
      </c>
      <c r="G135" s="122"/>
      <c r="H135" s="203"/>
      <c r="I135" s="208">
        <f>(E135+F135+G135+H135)/32.907</f>
        <v>256251.87650044067</v>
      </c>
      <c r="J135" s="39">
        <f>I135/C136*100</f>
        <v>56.94486144454237</v>
      </c>
      <c r="K135" s="40"/>
      <c r="L135" s="40"/>
      <c r="M135">
        <v>32.907</v>
      </c>
    </row>
    <row r="136" spans="1:12" ht="13.5" customHeight="1" hidden="1">
      <c r="A136" s="602"/>
      <c r="B136" s="604"/>
      <c r="C136" s="1197">
        <f>C135+D135</f>
        <v>450000</v>
      </c>
      <c r="D136" s="1198"/>
      <c r="E136" s="148">
        <f>F136</f>
        <v>17448.37</v>
      </c>
      <c r="F136" s="146">
        <v>17448.37</v>
      </c>
      <c r="G136" s="146"/>
      <c r="H136" s="211"/>
      <c r="I136" s="148"/>
      <c r="J136" s="48" t="s">
        <v>76</v>
      </c>
      <c r="K136" s="40"/>
      <c r="L136" s="40"/>
    </row>
    <row r="137" spans="1:15" ht="12.75" customHeight="1" hidden="1">
      <c r="A137" s="718" t="s">
        <v>9</v>
      </c>
      <c r="B137" s="720" t="s">
        <v>10</v>
      </c>
      <c r="C137" s="212">
        <v>240276</v>
      </c>
      <c r="D137" s="55">
        <v>42402</v>
      </c>
      <c r="E137" s="12">
        <v>0</v>
      </c>
      <c r="F137" s="11">
        <v>2681921.71</v>
      </c>
      <c r="G137" s="11"/>
      <c r="H137" s="13"/>
      <c r="I137" s="213">
        <f>(F137+H137)/33.95</f>
        <v>78996.22120765831</v>
      </c>
      <c r="J137" s="39">
        <f>I137/C138*100</f>
        <v>27.94565590801488</v>
      </c>
      <c r="K137" s="40"/>
      <c r="L137" s="40"/>
      <c r="M137">
        <v>33.95</v>
      </c>
      <c r="N137" s="1199">
        <f>I127+I129+I131+I133+I135+I137</f>
        <v>2426955.268500514</v>
      </c>
      <c r="O137" s="1200"/>
    </row>
    <row r="138" spans="1:12" ht="13.5" customHeight="1" hidden="1">
      <c r="A138" s="719"/>
      <c r="B138" s="721"/>
      <c r="C138" s="1174">
        <f>C137+D137</f>
        <v>282678</v>
      </c>
      <c r="D138" s="1201"/>
      <c r="E138" s="14"/>
      <c r="F138" s="15"/>
      <c r="G138" s="15"/>
      <c r="H138" s="16"/>
      <c r="I138" s="14"/>
      <c r="J138" s="135"/>
      <c r="K138" s="207"/>
      <c r="L138" s="207"/>
    </row>
    <row r="139" spans="1:13" ht="12.75" customHeight="1" hidden="1">
      <c r="A139" s="718" t="s">
        <v>11</v>
      </c>
      <c r="B139" s="720" t="s">
        <v>12</v>
      </c>
      <c r="C139" s="212">
        <v>298769</v>
      </c>
      <c r="D139" s="55">
        <v>52724</v>
      </c>
      <c r="E139" s="25">
        <v>1382052.93</v>
      </c>
      <c r="F139" s="19">
        <f>E139</f>
        <v>1382052.93</v>
      </c>
      <c r="G139" s="19"/>
      <c r="H139" s="20"/>
      <c r="I139" s="215">
        <f>(E139+F139+G139+H139)/32.763</f>
        <v>84366.68986356561</v>
      </c>
      <c r="J139" s="52">
        <f>I139/C140*100</f>
        <v>24.00238123193509</v>
      </c>
      <c r="K139" s="40"/>
      <c r="L139" s="40"/>
      <c r="M139">
        <v>32.763</v>
      </c>
    </row>
    <row r="140" spans="1:12" ht="13.5" customHeight="1" hidden="1">
      <c r="A140" s="732"/>
      <c r="B140" s="733"/>
      <c r="C140" s="1174">
        <f>C139+D139</f>
        <v>351493</v>
      </c>
      <c r="D140" s="1201"/>
      <c r="E140" s="49"/>
      <c r="F140" s="22"/>
      <c r="G140" s="22"/>
      <c r="H140" s="23"/>
      <c r="I140" s="49"/>
      <c r="J140" s="50"/>
      <c r="K140" s="40"/>
      <c r="L140" s="40"/>
    </row>
    <row r="141" spans="1:13" ht="12.75" customHeight="1" hidden="1">
      <c r="A141" s="718" t="s">
        <v>118</v>
      </c>
      <c r="B141" s="720" t="s">
        <v>14</v>
      </c>
      <c r="C141" s="212">
        <v>555499</v>
      </c>
      <c r="D141" s="55">
        <v>98029</v>
      </c>
      <c r="E141" s="25">
        <v>0</v>
      </c>
      <c r="F141" s="19">
        <v>2313635.54</v>
      </c>
      <c r="G141" s="19"/>
      <c r="H141" s="20"/>
      <c r="I141" s="215">
        <f>(F141+H141)/31.78</f>
        <v>72801.62177470107</v>
      </c>
      <c r="J141" s="39">
        <f>I141/C142*100</f>
        <v>11.139786172084603</v>
      </c>
      <c r="K141" s="40"/>
      <c r="L141" s="40"/>
      <c r="M141">
        <v>31.78</v>
      </c>
    </row>
    <row r="142" spans="1:12" ht="13.5" customHeight="1" hidden="1">
      <c r="A142" s="719"/>
      <c r="B142" s="721"/>
      <c r="C142" s="1174">
        <f>C141+D141</f>
        <v>653528</v>
      </c>
      <c r="D142" s="1201"/>
      <c r="E142" s="26"/>
      <c r="F142" s="27"/>
      <c r="G142" s="27"/>
      <c r="H142" s="28"/>
      <c r="I142" s="26"/>
      <c r="J142" s="48" t="s">
        <v>76</v>
      </c>
      <c r="K142" s="40"/>
      <c r="L142" s="40"/>
    </row>
    <row r="143" spans="1:13" ht="12.75" customHeight="1" hidden="1">
      <c r="A143" s="718" t="s">
        <v>15</v>
      </c>
      <c r="B143" s="720" t="s">
        <v>16</v>
      </c>
      <c r="C143" s="212">
        <v>322252</v>
      </c>
      <c r="D143" s="55">
        <v>56868</v>
      </c>
      <c r="E143" s="25">
        <v>1088927.34</v>
      </c>
      <c r="F143" s="19">
        <f>E143</f>
        <v>1088927.34</v>
      </c>
      <c r="G143" s="19"/>
      <c r="H143" s="20"/>
      <c r="I143" s="215">
        <f>(E143+F143+G143+H143)/32.585</f>
        <v>66836.11109406169</v>
      </c>
      <c r="J143" s="39">
        <f>I143/C144*100</f>
        <v>17.62927597965333</v>
      </c>
      <c r="K143" s="40"/>
      <c r="L143" s="40"/>
      <c r="M143">
        <v>32.585</v>
      </c>
    </row>
    <row r="144" spans="1:12" ht="13.5" customHeight="1" hidden="1">
      <c r="A144" s="719"/>
      <c r="B144" s="721"/>
      <c r="C144" s="1174">
        <f>C143+D143</f>
        <v>379120</v>
      </c>
      <c r="D144" s="1201"/>
      <c r="E144" s="26"/>
      <c r="F144" s="27"/>
      <c r="G144" s="27"/>
      <c r="H144" s="28"/>
      <c r="I144" s="26"/>
      <c r="J144" s="48" t="s">
        <v>76</v>
      </c>
      <c r="K144" s="40"/>
      <c r="L144" s="40"/>
    </row>
    <row r="145" spans="1:13" ht="12.75" customHeight="1" hidden="1">
      <c r="A145" s="718" t="s">
        <v>17</v>
      </c>
      <c r="B145" s="720" t="s">
        <v>18</v>
      </c>
      <c r="C145" s="212">
        <v>295565</v>
      </c>
      <c r="D145" s="55">
        <v>52158</v>
      </c>
      <c r="E145" s="25">
        <v>0</v>
      </c>
      <c r="F145" s="19">
        <v>4005608.85</v>
      </c>
      <c r="G145" s="19"/>
      <c r="H145" s="20"/>
      <c r="I145" s="215">
        <f>(F145+H145)/32.585</f>
        <v>122927.99907933098</v>
      </c>
      <c r="J145" s="39">
        <f>I145/C146*100</f>
        <v>35.35227726648251</v>
      </c>
      <c r="K145" s="40"/>
      <c r="L145" s="40"/>
      <c r="M145">
        <v>32.585</v>
      </c>
    </row>
    <row r="146" spans="1:12" ht="13.5" customHeight="1" hidden="1">
      <c r="A146" s="719"/>
      <c r="B146" s="721"/>
      <c r="C146" s="1174">
        <f>C145+D145</f>
        <v>347723</v>
      </c>
      <c r="D146" s="1201"/>
      <c r="E146" s="26"/>
      <c r="F146" s="27"/>
      <c r="G146" s="27"/>
      <c r="H146" s="28"/>
      <c r="I146" s="26"/>
      <c r="J146" s="48" t="s">
        <v>76</v>
      </c>
      <c r="K146" s="40"/>
      <c r="L146" s="40"/>
    </row>
    <row r="147" spans="1:13" ht="12.75" customHeight="1" hidden="1">
      <c r="A147" s="718" t="s">
        <v>19</v>
      </c>
      <c r="B147" s="720" t="s">
        <v>20</v>
      </c>
      <c r="C147" s="212">
        <v>385263</v>
      </c>
      <c r="D147" s="55">
        <v>67987</v>
      </c>
      <c r="E147" s="25">
        <v>1334500</v>
      </c>
      <c r="F147" s="19">
        <f>E147</f>
        <v>1334500</v>
      </c>
      <c r="G147" s="19"/>
      <c r="H147" s="20"/>
      <c r="I147" s="215">
        <f>(E147+F147+G147+H147)/32.33</f>
        <v>82554.90256727498</v>
      </c>
      <c r="J147" s="39">
        <f>I147/C148*100</f>
        <v>18.213988431831215</v>
      </c>
      <c r="K147" s="40"/>
      <c r="L147" s="40"/>
      <c r="M147">
        <v>32.33</v>
      </c>
    </row>
    <row r="148" spans="1:12" ht="12.75" customHeight="1" hidden="1">
      <c r="A148" s="732"/>
      <c r="B148" s="733"/>
      <c r="C148" s="1176">
        <f>C147+D147</f>
        <v>453250</v>
      </c>
      <c r="D148" s="1202"/>
      <c r="E148" s="49"/>
      <c r="F148" s="22"/>
      <c r="G148" s="22"/>
      <c r="H148" s="23"/>
      <c r="I148" s="49"/>
      <c r="J148" s="50" t="s">
        <v>76</v>
      </c>
      <c r="K148" s="40"/>
      <c r="L148" s="40"/>
    </row>
    <row r="149" spans="1:13" ht="12.75" customHeight="1" hidden="1">
      <c r="A149" s="1166" t="s">
        <v>21</v>
      </c>
      <c r="B149" s="1168" t="s">
        <v>22</v>
      </c>
      <c r="C149" s="212">
        <v>459014</v>
      </c>
      <c r="D149" s="55">
        <v>81003</v>
      </c>
      <c r="E149" s="18">
        <v>17014.66</v>
      </c>
      <c r="F149" s="19">
        <v>17014.66</v>
      </c>
      <c r="G149" s="19"/>
      <c r="H149" s="17"/>
      <c r="I149" s="215">
        <f>(E149+F149+H149+G149)/32.473</f>
        <v>1047.9265851630585</v>
      </c>
      <c r="J149" s="39">
        <f>I149/C150*100</f>
        <v>0.19405436961485628</v>
      </c>
      <c r="K149" s="40"/>
      <c r="L149" s="40"/>
      <c r="M149">
        <v>32.473</v>
      </c>
    </row>
    <row r="150" spans="1:12" ht="13.5" customHeight="1" hidden="1">
      <c r="A150" s="1167"/>
      <c r="B150" s="1169"/>
      <c r="C150" s="1203">
        <f>C149+D149</f>
        <v>540017</v>
      </c>
      <c r="D150" s="1204"/>
      <c r="E150" s="21"/>
      <c r="F150" s="22"/>
      <c r="G150" s="22"/>
      <c r="H150" s="37"/>
      <c r="I150" s="49"/>
      <c r="J150" s="50" t="s">
        <v>76</v>
      </c>
      <c r="K150" s="40"/>
      <c r="L150" s="40"/>
    </row>
    <row r="151" spans="1:13" ht="12.75" hidden="1">
      <c r="A151" s="1170" t="s">
        <v>23</v>
      </c>
      <c r="B151" s="1172" t="s">
        <v>24</v>
      </c>
      <c r="C151" s="212">
        <v>13333016.87</v>
      </c>
      <c r="D151" s="55">
        <v>2352885.34</v>
      </c>
      <c r="E151" s="19">
        <f>F151</f>
        <v>25810.89</v>
      </c>
      <c r="F151" s="19">
        <v>25810.89</v>
      </c>
      <c r="G151" s="19"/>
      <c r="H151" s="17"/>
      <c r="I151" s="215">
        <f>(E151+F151)/M151</f>
        <v>1701.9478421417032</v>
      </c>
      <c r="J151" s="39"/>
      <c r="K151" s="40"/>
      <c r="L151" s="40"/>
      <c r="M151">
        <v>30.331</v>
      </c>
    </row>
    <row r="152" spans="1:12" ht="13.5" hidden="1" thickBot="1">
      <c r="A152" s="1171"/>
      <c r="B152" s="1173"/>
      <c r="C152" s="1174">
        <f>C151+D151</f>
        <v>15685902.209999999</v>
      </c>
      <c r="D152" s="1175"/>
      <c r="E152" s="27">
        <f>F152</f>
        <v>35209.08</v>
      </c>
      <c r="F152" s="27">
        <v>35209.08</v>
      </c>
      <c r="G152" s="27"/>
      <c r="H152" s="59"/>
      <c r="I152" s="216"/>
      <c r="J152" s="47"/>
      <c r="K152" s="40"/>
      <c r="L152" s="40"/>
    </row>
    <row r="153" spans="1:13" ht="12.75" hidden="1">
      <c r="A153" s="1205" t="s">
        <v>110</v>
      </c>
      <c r="B153" s="1183" t="s">
        <v>111</v>
      </c>
      <c r="C153" s="550"/>
      <c r="D153" s="551"/>
      <c r="E153" s="25">
        <f>F153</f>
        <v>935000</v>
      </c>
      <c r="F153" s="19">
        <v>935000</v>
      </c>
      <c r="G153" s="19"/>
      <c r="H153" s="17"/>
      <c r="I153" s="215">
        <f>(E153+F153)/M153</f>
        <v>61622.61912607922</v>
      </c>
      <c r="J153" s="39"/>
      <c r="K153" s="40"/>
      <c r="L153" s="40"/>
      <c r="M153">
        <v>30.346</v>
      </c>
    </row>
    <row r="154" spans="1:12" ht="13.5" hidden="1" thickBot="1">
      <c r="A154" s="1171"/>
      <c r="B154" s="1173"/>
      <c r="C154" s="1174"/>
      <c r="D154" s="1175"/>
      <c r="E154" s="26"/>
      <c r="F154" s="27"/>
      <c r="G154" s="27"/>
      <c r="H154" s="59"/>
      <c r="I154" s="216"/>
      <c r="J154" s="47"/>
      <c r="K154" s="40"/>
      <c r="L154" s="40"/>
    </row>
    <row r="155" spans="1:13" ht="12.75" hidden="1">
      <c r="A155" s="1170" t="s">
        <v>131</v>
      </c>
      <c r="B155" s="1172" t="s">
        <v>26</v>
      </c>
      <c r="C155" s="548"/>
      <c r="D155" s="552"/>
      <c r="E155" s="18">
        <f>F155</f>
        <v>28897.88</v>
      </c>
      <c r="F155" s="19">
        <v>28897.88</v>
      </c>
      <c r="G155" s="19"/>
      <c r="H155" s="17"/>
      <c r="I155" s="215">
        <f>(E155+F155)/M155</f>
        <v>1905.0616388687454</v>
      </c>
      <c r="J155" s="39"/>
      <c r="K155" s="40"/>
      <c r="L155" s="40"/>
      <c r="M155">
        <v>30.338</v>
      </c>
    </row>
    <row r="156" spans="1:12" ht="13.5" hidden="1" thickBot="1">
      <c r="A156" s="1171"/>
      <c r="B156" s="1173"/>
      <c r="C156" s="1174"/>
      <c r="D156" s="1175"/>
      <c r="E156" s="217"/>
      <c r="F156" s="27"/>
      <c r="G156" s="27"/>
      <c r="H156" s="59"/>
      <c r="I156" s="216"/>
      <c r="J156" s="47"/>
      <c r="K156" s="40"/>
      <c r="L156" s="40"/>
    </row>
    <row r="157" spans="1:13" ht="12.75" hidden="1">
      <c r="A157" s="1170" t="s">
        <v>27</v>
      </c>
      <c r="B157" s="1172" t="s">
        <v>28</v>
      </c>
      <c r="C157" s="548"/>
      <c r="D157" s="552"/>
      <c r="E157" s="18">
        <f>F157</f>
        <v>436956.53</v>
      </c>
      <c r="F157" s="19">
        <v>436956.53</v>
      </c>
      <c r="G157" s="19"/>
      <c r="H157" s="17"/>
      <c r="I157" s="215">
        <f>(E157+F157)/M157</f>
        <v>28805.888984112335</v>
      </c>
      <c r="J157" s="39"/>
      <c r="K157" s="40"/>
      <c r="L157" s="40"/>
      <c r="M157">
        <v>30.338</v>
      </c>
    </row>
    <row r="158" spans="1:13" ht="13.5" hidden="1" thickBot="1">
      <c r="A158" s="1171"/>
      <c r="B158" s="1173"/>
      <c r="C158" s="1174"/>
      <c r="D158" s="1175"/>
      <c r="E158" s="217">
        <f>F158</f>
        <v>466198.88</v>
      </c>
      <c r="F158" s="27">
        <v>466198.88</v>
      </c>
      <c r="G158" s="27"/>
      <c r="H158" s="59"/>
      <c r="I158" s="216">
        <f>(E158+F158)/M158</f>
        <v>30733.65943700969</v>
      </c>
      <c r="J158" s="47"/>
      <c r="K158" s="40"/>
      <c r="L158" s="40"/>
      <c r="M158">
        <v>30.338</v>
      </c>
    </row>
    <row r="159" spans="1:13" ht="12.75" hidden="1">
      <c r="A159" s="718" t="s">
        <v>29</v>
      </c>
      <c r="B159" s="720" t="s">
        <v>30</v>
      </c>
      <c r="C159" s="548"/>
      <c r="D159" s="552"/>
      <c r="E159" s="18">
        <f>F159</f>
        <v>1905687.95</v>
      </c>
      <c r="F159" s="19">
        <v>1905687.95</v>
      </c>
      <c r="G159" s="19"/>
      <c r="H159" s="17"/>
      <c r="I159" s="215">
        <f>(E159+F159)/M159</f>
        <v>125812.89694328909</v>
      </c>
      <c r="J159" s="39"/>
      <c r="K159" s="40"/>
      <c r="L159" s="40"/>
      <c r="M159">
        <v>30.294</v>
      </c>
    </row>
    <row r="160" spans="1:12" ht="13.5" hidden="1" thickBot="1">
      <c r="A160" s="719"/>
      <c r="B160" s="721"/>
      <c r="C160" s="1174"/>
      <c r="D160" s="1175"/>
      <c r="E160" s="21"/>
      <c r="F160" s="22"/>
      <c r="G160" s="22"/>
      <c r="H160" s="37"/>
      <c r="I160" s="216"/>
      <c r="J160" s="47"/>
      <c r="K160" s="40"/>
      <c r="L160" s="40"/>
    </row>
    <row r="161" spans="1:13" ht="12.75" hidden="1">
      <c r="A161" s="718" t="s">
        <v>31</v>
      </c>
      <c r="B161" s="720" t="s">
        <v>32</v>
      </c>
      <c r="C161" s="548"/>
      <c r="D161" s="552"/>
      <c r="E161" s="18">
        <f>F161</f>
        <v>814688.45</v>
      </c>
      <c r="F161" s="38">
        <v>814688.45</v>
      </c>
      <c r="G161" s="19"/>
      <c r="H161" s="39"/>
      <c r="I161" s="215">
        <f>(E161+F161)/M161</f>
        <v>53773.04049371308</v>
      </c>
      <c r="J161" s="39"/>
      <c r="K161" s="40"/>
      <c r="L161" s="40"/>
      <c r="M161">
        <v>30.301</v>
      </c>
    </row>
    <row r="162" spans="1:12" ht="13.5" hidden="1" thickBot="1">
      <c r="A162" s="719"/>
      <c r="B162" s="721"/>
      <c r="C162" s="1174"/>
      <c r="D162" s="1175"/>
      <c r="E162" s="81"/>
      <c r="F162" s="53"/>
      <c r="G162" s="15"/>
      <c r="H162" s="47"/>
      <c r="I162" s="216"/>
      <c r="J162" s="47"/>
      <c r="K162" s="40"/>
      <c r="L162" s="40"/>
    </row>
    <row r="163" spans="1:15" ht="12.75" hidden="1">
      <c r="A163" s="1170" t="s">
        <v>33</v>
      </c>
      <c r="B163" s="1172" t="s">
        <v>34</v>
      </c>
      <c r="C163" s="9">
        <v>14632317.686999999</v>
      </c>
      <c r="D163" s="10">
        <v>2582167.824</v>
      </c>
      <c r="E163" s="61">
        <v>53944.82</v>
      </c>
      <c r="F163" s="172">
        <f>E163</f>
        <v>53944.82</v>
      </c>
      <c r="G163" s="172"/>
      <c r="H163" s="80"/>
      <c r="I163" s="218">
        <f>(E163+F163)/M163</f>
        <v>3555.4338441258856</v>
      </c>
      <c r="J163" s="219">
        <f>(I163+I164+I165)/C164*100</f>
        <v>0.29308227079907645</v>
      </c>
      <c r="K163" s="220"/>
      <c r="L163" s="220"/>
      <c r="M163" s="221">
        <v>30.345</v>
      </c>
      <c r="N163" s="221"/>
      <c r="O163" s="222"/>
    </row>
    <row r="164" spans="1:15" ht="12" customHeight="1" hidden="1">
      <c r="A164" s="1205"/>
      <c r="B164" s="1183"/>
      <c r="C164" s="734">
        <f>C163+D163</f>
        <v>17214485.511</v>
      </c>
      <c r="D164" s="735"/>
      <c r="E164" s="174">
        <v>179526.59</v>
      </c>
      <c r="F164" s="102">
        <f>E164</f>
        <v>179526.59</v>
      </c>
      <c r="G164" s="102"/>
      <c r="H164" s="223"/>
      <c r="I164" s="224">
        <f>(E164+F164)/M164</f>
        <v>11832.367111550502</v>
      </c>
      <c r="J164" s="104" t="s">
        <v>76</v>
      </c>
      <c r="K164" s="105"/>
      <c r="L164" s="105"/>
      <c r="M164" s="225">
        <v>30.345</v>
      </c>
      <c r="N164" s="198"/>
      <c r="O164" s="54"/>
    </row>
    <row r="165" spans="1:15" ht="13.5" customHeight="1" hidden="1">
      <c r="A165" s="1171"/>
      <c r="B165" s="1173"/>
      <c r="C165" s="1186"/>
      <c r="D165" s="1187"/>
      <c r="E165" s="227">
        <v>532020.74</v>
      </c>
      <c r="F165" s="226">
        <f>E165</f>
        <v>532020.74</v>
      </c>
      <c r="G165" s="226"/>
      <c r="H165" s="228"/>
      <c r="I165" s="229">
        <f>(E165+F165)/M165</f>
        <v>35064.80408634042</v>
      </c>
      <c r="J165" s="230" t="s">
        <v>76</v>
      </c>
      <c r="K165" s="231"/>
      <c r="L165" s="231"/>
      <c r="M165" s="232">
        <v>30.345</v>
      </c>
      <c r="N165" s="232"/>
      <c r="O165" s="51"/>
    </row>
    <row r="166" spans="1:13" ht="12.75" hidden="1">
      <c r="A166" s="762" t="s">
        <v>123</v>
      </c>
      <c r="B166" s="720" t="s">
        <v>36</v>
      </c>
      <c r="C166" s="548"/>
      <c r="D166" s="552"/>
      <c r="E166" s="46">
        <f>F166</f>
        <v>1818494.05</v>
      </c>
      <c r="F166" s="19">
        <v>1818494.05</v>
      </c>
      <c r="G166" s="38"/>
      <c r="H166" s="20"/>
      <c r="I166" s="233">
        <f>(E166+F166)/M166</f>
        <v>120266.79342614333</v>
      </c>
      <c r="J166" s="39"/>
      <c r="K166" s="40"/>
      <c r="L166" s="40"/>
      <c r="M166" s="225">
        <v>30.241</v>
      </c>
    </row>
    <row r="167" spans="1:12" ht="13.5" hidden="1" thickBot="1">
      <c r="A167" s="763"/>
      <c r="B167" s="733"/>
      <c r="C167" s="1176"/>
      <c r="D167" s="1177"/>
      <c r="E167" s="45"/>
      <c r="F167" s="31"/>
      <c r="G167" s="40"/>
      <c r="H167" s="32"/>
      <c r="I167" s="234"/>
      <c r="J167" s="41"/>
      <c r="K167" s="40"/>
      <c r="L167" s="40"/>
    </row>
    <row r="168" spans="1:13" ht="12.75" hidden="1">
      <c r="A168" s="762" t="s">
        <v>37</v>
      </c>
      <c r="B168" s="720" t="s">
        <v>38</v>
      </c>
      <c r="C168" s="548"/>
      <c r="D168" s="549"/>
      <c r="E168" s="25">
        <v>0</v>
      </c>
      <c r="F168" s="19">
        <v>4213802.89</v>
      </c>
      <c r="G168" s="19"/>
      <c r="H168" s="39"/>
      <c r="I168" s="233">
        <f>(E168+F168)/M168</f>
        <v>139340.72583578585</v>
      </c>
      <c r="J168" s="39"/>
      <c r="K168" s="40"/>
      <c r="L168" s="40"/>
      <c r="M168">
        <v>30.241</v>
      </c>
    </row>
    <row r="169" spans="1:12" ht="13.5" hidden="1" thickBot="1">
      <c r="A169" s="763"/>
      <c r="B169" s="721"/>
      <c r="C169" s="546"/>
      <c r="D169" s="547"/>
      <c r="E169" s="14"/>
      <c r="F169" s="15"/>
      <c r="G169" s="15"/>
      <c r="H169" s="47"/>
      <c r="I169" s="235"/>
      <c r="J169" s="47"/>
      <c r="K169" s="40"/>
      <c r="L169" s="40"/>
    </row>
    <row r="170" spans="1:13" ht="12.75" hidden="1">
      <c r="A170" s="762" t="s">
        <v>125</v>
      </c>
      <c r="B170" s="733" t="s">
        <v>132</v>
      </c>
      <c r="C170" s="550"/>
      <c r="D170" s="553"/>
      <c r="E170" s="25">
        <f aca="true" t="shared" si="3" ref="E170:E175">F170</f>
        <v>474549.61</v>
      </c>
      <c r="F170" s="19">
        <v>474549.61</v>
      </c>
      <c r="G170" s="19"/>
      <c r="H170" s="39">
        <v>83757.47</v>
      </c>
      <c r="I170" s="236">
        <f aca="true" t="shared" si="4" ref="I170:I175">(E170+F170)/M170</f>
        <v>25264.173876008197</v>
      </c>
      <c r="J170" s="52"/>
      <c r="K170" s="40"/>
      <c r="L170" s="40"/>
      <c r="M170">
        <v>37.567</v>
      </c>
    </row>
    <row r="171" spans="1:13" ht="12.75" hidden="1">
      <c r="A171" s="722"/>
      <c r="B171" s="733"/>
      <c r="C171" s="1176"/>
      <c r="D171" s="1177"/>
      <c r="E171" s="12">
        <f t="shared" si="3"/>
        <v>138411</v>
      </c>
      <c r="F171" s="11">
        <v>138411</v>
      </c>
      <c r="G171" s="11"/>
      <c r="H171" s="52"/>
      <c r="I171" s="236">
        <f t="shared" si="4"/>
        <v>7809.682333690685</v>
      </c>
      <c r="J171" s="52"/>
      <c r="K171" s="40"/>
      <c r="L171" s="40"/>
      <c r="M171">
        <v>35.446</v>
      </c>
    </row>
    <row r="172" spans="1:13" ht="12.75" hidden="1">
      <c r="A172" s="722"/>
      <c r="B172" s="733"/>
      <c r="C172" s="1206"/>
      <c r="D172" s="1207"/>
      <c r="E172" s="237">
        <f t="shared" si="3"/>
        <v>629509.32</v>
      </c>
      <c r="F172" s="11">
        <v>629509.32</v>
      </c>
      <c r="G172" s="238"/>
      <c r="H172" s="239"/>
      <c r="I172" s="236">
        <f t="shared" si="4"/>
        <v>36085.37231298366</v>
      </c>
      <c r="J172" s="52"/>
      <c r="K172" s="40"/>
      <c r="L172" s="40"/>
      <c r="M172">
        <v>34.89</v>
      </c>
    </row>
    <row r="173" spans="1:13" ht="12.75" hidden="1">
      <c r="A173" s="722"/>
      <c r="B173" s="733"/>
      <c r="C173" s="1206"/>
      <c r="D173" s="1207"/>
      <c r="E173" s="34">
        <f t="shared" si="3"/>
        <v>2878185</v>
      </c>
      <c r="F173" s="33">
        <v>2878185</v>
      </c>
      <c r="G173" s="33"/>
      <c r="H173" s="43"/>
      <c r="I173" s="240">
        <f t="shared" si="4"/>
        <v>170579.3279203461</v>
      </c>
      <c r="J173" s="43"/>
      <c r="K173" s="40"/>
      <c r="L173" s="40"/>
      <c r="M173">
        <v>33.746</v>
      </c>
    </row>
    <row r="174" spans="1:13" ht="12.75" hidden="1">
      <c r="A174" s="722"/>
      <c r="B174" s="733"/>
      <c r="C174" s="1206"/>
      <c r="D174" s="1207"/>
      <c r="E174" s="12">
        <f t="shared" si="3"/>
        <v>1464762.5</v>
      </c>
      <c r="F174" s="11">
        <v>1464762.5</v>
      </c>
      <c r="G174" s="11"/>
      <c r="H174" s="52"/>
      <c r="I174" s="236">
        <f t="shared" si="4"/>
        <v>87120.82912032357</v>
      </c>
      <c r="J174" s="52"/>
      <c r="K174" s="40"/>
      <c r="L174" s="40"/>
      <c r="M174">
        <v>33.626</v>
      </c>
    </row>
    <row r="175" spans="1:13" ht="13.5" hidden="1" thickBot="1">
      <c r="A175" s="763"/>
      <c r="B175" s="721"/>
      <c r="C175" s="1178"/>
      <c r="D175" s="1179"/>
      <c r="E175" s="14">
        <f t="shared" si="3"/>
        <v>46657.27</v>
      </c>
      <c r="F175" s="15">
        <v>46657.27</v>
      </c>
      <c r="G175" s="53"/>
      <c r="H175" s="28"/>
      <c r="I175" s="235">
        <f t="shared" si="4"/>
        <v>2807.043287308606</v>
      </c>
      <c r="J175" s="47"/>
      <c r="K175" s="40"/>
      <c r="L175" s="40"/>
      <c r="M175">
        <v>33.243</v>
      </c>
    </row>
    <row r="176" spans="1:12" ht="13.5" customHeight="1" hidden="1">
      <c r="A176" s="241" t="s">
        <v>75</v>
      </c>
      <c r="B176" s="242" t="s">
        <v>76</v>
      </c>
      <c r="C176" s="1219">
        <f>C150+C148+C146+C144+C142+C140+C138+C136+C134+C132+C130+C128</f>
        <v>10918986</v>
      </c>
      <c r="D176" s="1220"/>
      <c r="E176" s="243"/>
      <c r="F176" s="244"/>
      <c r="G176" s="244"/>
      <c r="H176" s="245"/>
      <c r="I176" s="88">
        <f>SUM(I127:I175)</f>
        <v>3801572.1870844313</v>
      </c>
      <c r="J176" s="246">
        <f>I176/C176*100</f>
        <v>34.81616504576919</v>
      </c>
      <c r="K176" s="247"/>
      <c r="L176" s="247"/>
    </row>
    <row r="177" ht="12.75" hidden="1"/>
    <row r="178" ht="12.75" hidden="1"/>
    <row r="179" ht="12.75" hidden="1"/>
    <row r="180" ht="12.75" hidden="1">
      <c r="F180" t="s">
        <v>133</v>
      </c>
    </row>
    <row r="181" ht="12.75" hidden="1">
      <c r="F181" t="s">
        <v>134</v>
      </c>
    </row>
    <row r="182" spans="6:7" ht="12.75" hidden="1">
      <c r="F182">
        <v>83757.47</v>
      </c>
      <c r="G182" s="248">
        <v>38973</v>
      </c>
    </row>
    <row r="183" spans="6:7" ht="12.75" hidden="1">
      <c r="F183">
        <v>507915</v>
      </c>
      <c r="G183" s="249">
        <v>39321</v>
      </c>
    </row>
    <row r="184" spans="6:7" ht="12.75" hidden="1">
      <c r="F184">
        <v>258487.5</v>
      </c>
      <c r="G184" s="249">
        <v>39437</v>
      </c>
    </row>
    <row r="185" ht="12.75" hidden="1"/>
    <row r="186" ht="12.75" customHeight="1" hidden="1">
      <c r="D186" t="s">
        <v>135</v>
      </c>
    </row>
    <row r="187" ht="12.75" customHeight="1" hidden="1">
      <c r="D187" t="s">
        <v>136</v>
      </c>
    </row>
    <row r="188" ht="12.75" customHeight="1" hidden="1">
      <c r="D188" t="s">
        <v>75</v>
      </c>
    </row>
    <row r="189" ht="12.75" hidden="1"/>
    <row r="190" ht="12.75" hidden="1"/>
    <row r="191" spans="4:8" ht="12.75" customHeight="1" hidden="1">
      <c r="D191" s="250" t="s">
        <v>137</v>
      </c>
      <c r="E191" s="1221" t="s">
        <v>119</v>
      </c>
      <c r="F191" s="1222"/>
      <c r="G191" s="1222" t="s">
        <v>75</v>
      </c>
      <c r="H191" s="1223"/>
    </row>
    <row r="192" spans="4:8" ht="12.75" customHeight="1" hidden="1">
      <c r="D192" s="251" t="s">
        <v>5</v>
      </c>
      <c r="E192" s="1208">
        <f>E63+E65+E67+E69+E71+E73+E75+E76+E77+E78+E79+E81+E82+E83+E85+E86+E87+E88+E89+E90+E93+E95+E97+E98+E99+E100+E101+E102+E104+E113</f>
        <v>17533635.31</v>
      </c>
      <c r="F192" s="1210"/>
      <c r="G192" s="1208" t="e">
        <f>#REF!+E192</f>
        <v>#REF!</v>
      </c>
      <c r="H192" s="1209"/>
    </row>
    <row r="193" spans="4:8" ht="12.75" customHeight="1" hidden="1">
      <c r="D193" s="251" t="s">
        <v>6</v>
      </c>
      <c r="E193" s="1208">
        <f>F63+F65+F67+F69+F71+F73+F75+F76+F77+F78+F79+F81+F82+F83+F85+F86+F87+F88+F89+F90+F93+F95+F97+F98+F99+F100+F101+F102+F104+F106+F113</f>
        <v>35121520.66</v>
      </c>
      <c r="F193" s="1210"/>
      <c r="G193" s="1208" t="e">
        <f>#REF!+E193</f>
        <v>#REF!</v>
      </c>
      <c r="H193" s="1209"/>
    </row>
    <row r="194" spans="4:8" ht="12.75" customHeight="1" hidden="1">
      <c r="D194" s="251" t="s">
        <v>138</v>
      </c>
      <c r="E194" s="1208" t="e">
        <f>G63+G65+G67+G69+G71+G73+G75+G76+G77+G78+G79+G81+G82+G83+G85+G86+G87+G88+G89+G90+G91+G92+G93+G97+G98+G99+G100+G101+G102+G104++#REF!</f>
        <v>#REF!</v>
      </c>
      <c r="F194" s="1210"/>
      <c r="G194" s="1208" t="e">
        <f>#REF!+E194</f>
        <v>#REF!</v>
      </c>
      <c r="H194" s="1209"/>
    </row>
    <row r="195" spans="4:8" ht="13.5" customHeight="1" hidden="1">
      <c r="D195" s="252" t="s">
        <v>139</v>
      </c>
      <c r="E195" s="1211" t="e">
        <f>H63+H65+H67+H69+H71+H73+H75+H76+H77+H78+H79+H81+H82+H83+H85+H86+H87+H88+H89+H90+H91+H92+H93+H95+H97+H98+H99+H100+H101+H102+H104+H106+#REF!</f>
        <v>#REF!</v>
      </c>
      <c r="F195" s="1212"/>
      <c r="G195" s="1211" t="e">
        <f>#REF!+E195</f>
        <v>#REF!</v>
      </c>
      <c r="H195" s="1213"/>
    </row>
    <row r="196" spans="5:6" ht="12.75" customHeight="1" hidden="1">
      <c r="E196" s="1214"/>
      <c r="F196" s="1214"/>
    </row>
    <row r="197" ht="12.75" hidden="1"/>
    <row r="198" spans="7:8" ht="12.75" hidden="1">
      <c r="G198" s="1199">
        <f>E51+E53+E55+E57+E59+E60+E61+E63+E65+E67+E69+E71+E73+E74+E75+E77+E79+E81+E82+E83+E85+E88+E89+E90+E93+E95+E113</f>
        <v>49179447.52000002</v>
      </c>
      <c r="H198" s="1200"/>
    </row>
    <row r="199" spans="7:8" ht="12.75" hidden="1">
      <c r="G199" s="1199">
        <f>F63+F65+F67+F69+F71+F73+F75+F77+F78+F79+F81+F82+F83+F85+F88+F89+F90+F93+F95+F113+F61+F60+F59+F57+F55+F53+F51</f>
        <v>62429625.59</v>
      </c>
      <c r="H199" s="1200"/>
    </row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spans="1:7" ht="12.75" hidden="1">
      <c r="A237" s="89" t="s">
        <v>77</v>
      </c>
      <c r="D237">
        <v>30.126</v>
      </c>
      <c r="E237" t="s">
        <v>140</v>
      </c>
      <c r="F237" s="198"/>
      <c r="G237" s="198"/>
    </row>
    <row r="238" spans="5:8" ht="12.75" hidden="1">
      <c r="E238" s="90">
        <f>E113+E114+E115+E116</f>
        <v>74363.78580760806</v>
      </c>
      <c r="F238" s="90">
        <f>F113+F114+F115+F116</f>
        <v>74363.78580760806</v>
      </c>
      <c r="G238" s="90">
        <f>G113+G114+G115+G116</f>
        <v>13123.020646617539</v>
      </c>
      <c r="H238" s="90">
        <f>H113+H114+H115+H116</f>
        <v>13123.020646617539</v>
      </c>
    </row>
    <row r="239" spans="1:8" ht="12.75" hidden="1">
      <c r="A239" s="89" t="s">
        <v>141</v>
      </c>
      <c r="B239" s="89"/>
      <c r="C239" s="89"/>
      <c r="D239" s="89"/>
      <c r="E239" s="89"/>
      <c r="F239" s="253"/>
      <c r="G239" s="253"/>
      <c r="H239" s="89"/>
    </row>
    <row r="240" spans="1:8" ht="12.75" hidden="1">
      <c r="A240" s="89" t="s">
        <v>142</v>
      </c>
      <c r="B240" s="89"/>
      <c r="C240" s="89"/>
      <c r="D240" s="89"/>
      <c r="E240" s="89"/>
      <c r="F240" s="253"/>
      <c r="G240" s="253"/>
      <c r="H240" s="89"/>
    </row>
    <row r="241" spans="5:14" ht="12.75">
      <c r="E241" s="554"/>
      <c r="F241" s="555"/>
      <c r="G241" s="555"/>
      <c r="H241" s="554"/>
      <c r="I241" s="555"/>
      <c r="J241" s="555"/>
      <c r="K241" s="554"/>
      <c r="L241" s="554"/>
      <c r="M241" s="554"/>
      <c r="N241" s="554"/>
    </row>
    <row r="242" spans="2:10" ht="12.75">
      <c r="B242" s="70" t="s">
        <v>283</v>
      </c>
      <c r="C242" s="796" t="s">
        <v>284</v>
      </c>
      <c r="D242" s="796"/>
      <c r="E242" s="796"/>
      <c r="F242" s="796"/>
      <c r="G242" s="556"/>
      <c r="I242" s="198"/>
      <c r="J242" s="198"/>
    </row>
    <row r="243" spans="2:10" ht="12.75">
      <c r="B243" s="70" t="s">
        <v>298</v>
      </c>
      <c r="C243" s="796" t="s">
        <v>286</v>
      </c>
      <c r="D243" s="796"/>
      <c r="E243" s="796"/>
      <c r="F243" s="796"/>
      <c r="G243" s="556"/>
      <c r="I243" s="528"/>
      <c r="J243" s="198"/>
    </row>
    <row r="244" spans="2:10" ht="12.75">
      <c r="B244" s="70" t="s">
        <v>299</v>
      </c>
      <c r="C244" s="70" t="s">
        <v>288</v>
      </c>
      <c r="D244" s="70"/>
      <c r="E244" s="70"/>
      <c r="F244" s="71"/>
      <c r="G244" s="71"/>
      <c r="I244" s="198"/>
      <c r="J244" s="198"/>
    </row>
    <row r="245" spans="2:10" ht="12.75">
      <c r="B245" s="70" t="s">
        <v>289</v>
      </c>
      <c r="C245" s="796" t="s">
        <v>290</v>
      </c>
      <c r="D245" s="796"/>
      <c r="E245" s="796"/>
      <c r="F245" s="796"/>
      <c r="G245" s="556"/>
      <c r="I245" s="198"/>
      <c r="J245" s="198"/>
    </row>
    <row r="246" spans="2:10" ht="12.75">
      <c r="B246" s="70" t="s">
        <v>311</v>
      </c>
      <c r="C246" s="70" t="s">
        <v>312</v>
      </c>
      <c r="D246" s="1"/>
      <c r="E246" s="1"/>
      <c r="F246" s="1"/>
      <c r="I246" s="198"/>
      <c r="J246" s="198"/>
    </row>
    <row r="247" spans="9:10" ht="12.75">
      <c r="I247" s="198"/>
      <c r="J247" s="198"/>
    </row>
    <row r="248" spans="5:13" ht="12.75">
      <c r="E248" s="363"/>
      <c r="F248" s="363"/>
      <c r="G248" s="363"/>
      <c r="H248" s="363"/>
      <c r="I248" s="273"/>
      <c r="J248" s="225"/>
      <c r="K248" s="363"/>
      <c r="L248" s="363"/>
      <c r="M248" s="363"/>
    </row>
    <row r="249" spans="9:10" ht="12.75">
      <c r="I249" s="198"/>
      <c r="J249" s="198"/>
    </row>
    <row r="250" spans="5:12" ht="12.75">
      <c r="E250" s="90"/>
      <c r="F250" s="90"/>
      <c r="G250" s="90"/>
      <c r="H250" s="90"/>
      <c r="I250" s="528"/>
      <c r="J250" s="198"/>
      <c r="K250" s="90"/>
      <c r="L250" s="90"/>
    </row>
    <row r="251" spans="5:13" ht="12.75">
      <c r="E251" s="90"/>
      <c r="F251" s="90"/>
      <c r="G251" s="90"/>
      <c r="H251" s="90"/>
      <c r="I251" s="528"/>
      <c r="J251" s="198"/>
      <c r="K251" s="90"/>
      <c r="L251" s="90"/>
      <c r="M251" s="90"/>
    </row>
    <row r="252" spans="9:10" ht="12.75">
      <c r="I252" s="198"/>
      <c r="J252" s="198"/>
    </row>
    <row r="253" spans="9:10" ht="12.75">
      <c r="I253" s="198"/>
      <c r="J253" s="198"/>
    </row>
    <row r="254" spans="9:10" ht="12.75">
      <c r="I254" s="198"/>
      <c r="J254" s="198"/>
    </row>
    <row r="255" spans="9:10" ht="12.75">
      <c r="I255" s="198"/>
      <c r="J255" s="198"/>
    </row>
    <row r="256" spans="9:10" ht="12.75">
      <c r="I256" s="198"/>
      <c r="J256" s="198"/>
    </row>
    <row r="257" spans="9:10" ht="12.75">
      <c r="I257" s="198"/>
      <c r="J257" s="198"/>
    </row>
    <row r="258" spans="9:13" ht="12.75">
      <c r="I258" s="198"/>
      <c r="J258" s="198"/>
      <c r="K258" s="198"/>
      <c r="L258" s="198"/>
      <c r="M258" s="198"/>
    </row>
    <row r="259" spans="9:13" ht="12.75">
      <c r="I259" s="198"/>
      <c r="J259" s="198"/>
      <c r="K259" s="198"/>
      <c r="L259" s="198"/>
      <c r="M259" s="198"/>
    </row>
    <row r="260" spans="9:13" ht="12.75">
      <c r="I260" s="198"/>
      <c r="J260" s="198"/>
      <c r="K260" s="198"/>
      <c r="L260" s="198"/>
      <c r="M260" s="198"/>
    </row>
    <row r="261" spans="9:13" ht="12.75">
      <c r="I261" s="198"/>
      <c r="J261" s="198"/>
      <c r="K261" s="198"/>
      <c r="L261" s="198"/>
      <c r="M261" s="198"/>
    </row>
    <row r="262" spans="9:13" ht="12.75">
      <c r="I262" s="198"/>
      <c r="J262" s="198"/>
      <c r="K262" s="198"/>
      <c r="L262" s="198"/>
      <c r="M262" s="198"/>
    </row>
    <row r="263" spans="9:13" ht="12.75">
      <c r="I263" s="198"/>
      <c r="J263" s="198"/>
      <c r="K263" s="198"/>
      <c r="L263" s="198"/>
      <c r="M263" s="198"/>
    </row>
    <row r="264" spans="9:13" ht="12.75">
      <c r="I264" s="198"/>
      <c r="J264" s="198"/>
      <c r="K264" s="198"/>
      <c r="L264" s="198"/>
      <c r="M264" s="198"/>
    </row>
    <row r="265" spans="9:13" ht="12.75">
      <c r="I265" s="198"/>
      <c r="J265" s="198"/>
      <c r="K265" s="198"/>
      <c r="L265" s="198"/>
      <c r="M265" s="198"/>
    </row>
    <row r="266" spans="9:13" ht="12.75">
      <c r="I266" s="198"/>
      <c r="J266" s="198"/>
      <c r="K266" s="198"/>
      <c r="L266" s="198"/>
      <c r="M266" s="198"/>
    </row>
    <row r="267" spans="9:13" ht="12.75">
      <c r="I267" s="198"/>
      <c r="J267" s="198"/>
      <c r="K267" s="198"/>
      <c r="L267" s="198"/>
      <c r="M267" s="198"/>
    </row>
    <row r="268" spans="9:13" ht="12.75">
      <c r="I268" s="198"/>
      <c r="J268" s="198"/>
      <c r="K268" s="198"/>
      <c r="L268" s="198"/>
      <c r="M268" s="198"/>
    </row>
    <row r="269" spans="9:13" ht="12.75">
      <c r="I269" s="198"/>
      <c r="J269" s="198"/>
      <c r="K269" s="198"/>
      <c r="L269" s="198"/>
      <c r="M269" s="198"/>
    </row>
    <row r="270" spans="9:13" ht="12.75">
      <c r="I270" s="198"/>
      <c r="J270" s="198"/>
      <c r="K270" s="198"/>
      <c r="L270" s="198"/>
      <c r="M270" s="198"/>
    </row>
    <row r="271" spans="9:13" ht="12.75">
      <c r="I271" s="198"/>
      <c r="J271" s="198"/>
      <c r="K271" s="198"/>
      <c r="L271" s="198"/>
      <c r="M271" s="198"/>
    </row>
    <row r="272" spans="9:13" ht="12.75">
      <c r="I272" s="198"/>
      <c r="J272" s="198"/>
      <c r="K272" s="198"/>
      <c r="L272" s="198"/>
      <c r="M272" s="198"/>
    </row>
    <row r="273" spans="9:13" ht="12.75">
      <c r="I273" s="198"/>
      <c r="J273" s="198"/>
      <c r="K273" s="198"/>
      <c r="L273" s="198"/>
      <c r="M273" s="198"/>
    </row>
    <row r="274" spans="9:13" ht="12.75">
      <c r="I274" s="198"/>
      <c r="J274" s="198"/>
      <c r="K274" s="198"/>
      <c r="L274" s="198"/>
      <c r="M274" s="198"/>
    </row>
    <row r="275" spans="9:13" ht="12.75">
      <c r="I275" s="198"/>
      <c r="J275" s="198"/>
      <c r="K275" s="198"/>
      <c r="L275" s="198"/>
      <c r="M275" s="198"/>
    </row>
    <row r="276" spans="9:13" ht="12.75">
      <c r="I276" s="198"/>
      <c r="J276" s="198"/>
      <c r="K276" s="198"/>
      <c r="L276" s="198"/>
      <c r="M276" s="198"/>
    </row>
    <row r="277" spans="9:13" ht="12.75">
      <c r="I277" s="198"/>
      <c r="J277" s="198"/>
      <c r="K277" s="198"/>
      <c r="L277" s="198"/>
      <c r="M277" s="198"/>
    </row>
    <row r="278" spans="9:13" ht="12.75">
      <c r="I278" s="198"/>
      <c r="J278" s="198"/>
      <c r="K278" s="198"/>
      <c r="L278" s="198"/>
      <c r="M278" s="198"/>
    </row>
    <row r="279" spans="9:13" ht="12.75">
      <c r="I279" s="198"/>
      <c r="J279" s="198"/>
      <c r="K279" s="198"/>
      <c r="L279" s="198"/>
      <c r="M279" s="198"/>
    </row>
    <row r="280" spans="9:13" ht="12.75">
      <c r="I280" s="198"/>
      <c r="J280" s="198"/>
      <c r="K280" s="198"/>
      <c r="L280" s="198"/>
      <c r="M280" s="198"/>
    </row>
    <row r="281" spans="9:13" ht="12.75">
      <c r="I281" s="198"/>
      <c r="J281" s="198"/>
      <c r="K281" s="198"/>
      <c r="L281" s="198"/>
      <c r="M281" s="198"/>
    </row>
    <row r="282" spans="9:13" ht="12.75">
      <c r="I282" s="198"/>
      <c r="J282" s="198"/>
      <c r="K282" s="198"/>
      <c r="L282" s="198"/>
      <c r="M282" s="198"/>
    </row>
    <row r="283" spans="9:13" ht="12.75">
      <c r="I283" s="198"/>
      <c r="J283" s="198"/>
      <c r="K283" s="198"/>
      <c r="L283" s="198"/>
      <c r="M283" s="198"/>
    </row>
    <row r="284" spans="9:13" ht="12.75">
      <c r="I284" s="198"/>
      <c r="J284" s="198"/>
      <c r="K284" s="198"/>
      <c r="L284" s="198"/>
      <c r="M284" s="198"/>
    </row>
    <row r="285" spans="10:13" ht="12.75">
      <c r="J285" s="198"/>
      <c r="K285" s="198"/>
      <c r="L285" s="198"/>
      <c r="M285" s="198"/>
    </row>
    <row r="286" spans="10:13" ht="12.75">
      <c r="J286" s="198"/>
      <c r="K286" s="198"/>
      <c r="L286" s="198"/>
      <c r="M286" s="198"/>
    </row>
    <row r="287" spans="10:13" ht="12.75">
      <c r="J287" s="198"/>
      <c r="K287" s="198"/>
      <c r="L287" s="198"/>
      <c r="M287" s="198"/>
    </row>
    <row r="288" spans="10:13" ht="12.75">
      <c r="J288" s="198"/>
      <c r="K288" s="198"/>
      <c r="L288" s="198"/>
      <c r="M288" s="198"/>
    </row>
    <row r="289" spans="10:13" ht="12.75">
      <c r="J289" s="198"/>
      <c r="K289" s="198"/>
      <c r="L289" s="198"/>
      <c r="M289" s="198"/>
    </row>
    <row r="290" spans="10:13" ht="12.75">
      <c r="J290" s="198"/>
      <c r="K290" s="198"/>
      <c r="L290" s="198"/>
      <c r="M290" s="198"/>
    </row>
    <row r="291" spans="10:13" ht="12.75">
      <c r="J291" s="198"/>
      <c r="K291" s="198"/>
      <c r="L291" s="198"/>
      <c r="M291" s="198"/>
    </row>
    <row r="292" spans="10:13" ht="12.75">
      <c r="J292" s="198"/>
      <c r="K292" s="198"/>
      <c r="L292" s="198"/>
      <c r="M292" s="198"/>
    </row>
    <row r="293" spans="10:13" ht="12.75">
      <c r="J293" s="198"/>
      <c r="K293" s="198"/>
      <c r="L293" s="198"/>
      <c r="M293" s="198"/>
    </row>
    <row r="294" spans="10:13" ht="12.75">
      <c r="J294" s="198"/>
      <c r="K294" s="198"/>
      <c r="L294" s="198"/>
      <c r="M294" s="198"/>
    </row>
    <row r="295" spans="10:13" ht="12.75">
      <c r="J295" s="198"/>
      <c r="K295" s="198"/>
      <c r="L295" s="198"/>
      <c r="M295" s="198"/>
    </row>
    <row r="744" ht="12.75">
      <c r="F744" s="90"/>
    </row>
    <row r="745" spans="5:6" ht="12.75">
      <c r="E745" s="90"/>
      <c r="F745" s="90"/>
    </row>
  </sheetData>
  <sheetProtection/>
  <mergeCells count="231">
    <mergeCell ref="C176:D176"/>
    <mergeCell ref="E191:F191"/>
    <mergeCell ref="G191:H191"/>
    <mergeCell ref="E192:F192"/>
    <mergeCell ref="L108:L120"/>
    <mergeCell ref="M108:M120"/>
    <mergeCell ref="N108:N120"/>
    <mergeCell ref="G199:H199"/>
    <mergeCell ref="C245:F245"/>
    <mergeCell ref="E194:F194"/>
    <mergeCell ref="G194:H194"/>
    <mergeCell ref="E195:F195"/>
    <mergeCell ref="G195:H195"/>
    <mergeCell ref="E196:F196"/>
    <mergeCell ref="G198:H198"/>
    <mergeCell ref="C242:F242"/>
    <mergeCell ref="C243:F243"/>
    <mergeCell ref="G192:H192"/>
    <mergeCell ref="E193:F193"/>
    <mergeCell ref="G193:H193"/>
    <mergeCell ref="A166:A167"/>
    <mergeCell ref="B166:B167"/>
    <mergeCell ref="C167:D167"/>
    <mergeCell ref="A168:A169"/>
    <mergeCell ref="B168:B169"/>
    <mergeCell ref="A170:A175"/>
    <mergeCell ref="B170:B175"/>
    <mergeCell ref="A159:A160"/>
    <mergeCell ref="B159:B160"/>
    <mergeCell ref="C160:D160"/>
    <mergeCell ref="C171:D175"/>
    <mergeCell ref="A161:A162"/>
    <mergeCell ref="B161:B162"/>
    <mergeCell ref="C162:D162"/>
    <mergeCell ref="A163:A165"/>
    <mergeCell ref="B163:B165"/>
    <mergeCell ref="C164:D165"/>
    <mergeCell ref="A155:A156"/>
    <mergeCell ref="B155:B156"/>
    <mergeCell ref="C156:D156"/>
    <mergeCell ref="A157:A158"/>
    <mergeCell ref="B157:B158"/>
    <mergeCell ref="C158:D158"/>
    <mergeCell ref="A151:A152"/>
    <mergeCell ref="B151:B152"/>
    <mergeCell ref="C152:D152"/>
    <mergeCell ref="A153:A154"/>
    <mergeCell ref="B153:B154"/>
    <mergeCell ref="C154:D154"/>
    <mergeCell ref="A147:A148"/>
    <mergeCell ref="B147:B148"/>
    <mergeCell ref="C148:D148"/>
    <mergeCell ref="A149:A150"/>
    <mergeCell ref="B149:B150"/>
    <mergeCell ref="C150:D150"/>
    <mergeCell ref="A143:A144"/>
    <mergeCell ref="B143:B144"/>
    <mergeCell ref="C144:D144"/>
    <mergeCell ref="A145:A146"/>
    <mergeCell ref="B145:B146"/>
    <mergeCell ref="C146:D146"/>
    <mergeCell ref="A139:A140"/>
    <mergeCell ref="B139:B140"/>
    <mergeCell ref="C140:D140"/>
    <mergeCell ref="A141:A142"/>
    <mergeCell ref="B141:B142"/>
    <mergeCell ref="C142:D142"/>
    <mergeCell ref="A137:A138"/>
    <mergeCell ref="B137:B138"/>
    <mergeCell ref="N137:O137"/>
    <mergeCell ref="C138:D138"/>
    <mergeCell ref="A133:A134"/>
    <mergeCell ref="B133:B134"/>
    <mergeCell ref="C134:D134"/>
    <mergeCell ref="A135:A136"/>
    <mergeCell ref="B135:B136"/>
    <mergeCell ref="C136:D136"/>
    <mergeCell ref="A129:A130"/>
    <mergeCell ref="B129:B130"/>
    <mergeCell ref="C130:D130"/>
    <mergeCell ref="A131:A132"/>
    <mergeCell ref="B131:B132"/>
    <mergeCell ref="C132:D132"/>
    <mergeCell ref="J125:J126"/>
    <mergeCell ref="A127:A128"/>
    <mergeCell ref="B127:B128"/>
    <mergeCell ref="C128:D128"/>
    <mergeCell ref="A125:A126"/>
    <mergeCell ref="B125:B126"/>
    <mergeCell ref="C125:D125"/>
    <mergeCell ref="E125:I125"/>
    <mergeCell ref="I124:J124"/>
    <mergeCell ref="C109:D120"/>
    <mergeCell ref="I108:I120"/>
    <mergeCell ref="J108:J120"/>
    <mergeCell ref="A104:A105"/>
    <mergeCell ref="B104:B105"/>
    <mergeCell ref="C121:D121"/>
    <mergeCell ref="E122:F122"/>
    <mergeCell ref="K108:K120"/>
    <mergeCell ref="A106:A107"/>
    <mergeCell ref="B106:B107"/>
    <mergeCell ref="A108:A120"/>
    <mergeCell ref="B108:B120"/>
    <mergeCell ref="C105:D105"/>
    <mergeCell ref="A97:A99"/>
    <mergeCell ref="B97:B99"/>
    <mergeCell ref="C98:D99"/>
    <mergeCell ref="A100:A101"/>
    <mergeCell ref="B100:B101"/>
    <mergeCell ref="C101:D101"/>
    <mergeCell ref="A102:A103"/>
    <mergeCell ref="B102:B103"/>
    <mergeCell ref="C103:D103"/>
    <mergeCell ref="A93:A94"/>
    <mergeCell ref="B93:B94"/>
    <mergeCell ref="C94:D94"/>
    <mergeCell ref="A95:A96"/>
    <mergeCell ref="B95:B96"/>
    <mergeCell ref="C96:D96"/>
    <mergeCell ref="A85:A87"/>
    <mergeCell ref="B85:B87"/>
    <mergeCell ref="C86:D87"/>
    <mergeCell ref="A88:A92"/>
    <mergeCell ref="B88:B92"/>
    <mergeCell ref="C89:D92"/>
    <mergeCell ref="A81:A82"/>
    <mergeCell ref="B81:B82"/>
    <mergeCell ref="C82:D82"/>
    <mergeCell ref="A83:A84"/>
    <mergeCell ref="B83:B84"/>
    <mergeCell ref="C84:D84"/>
    <mergeCell ref="A77:A78"/>
    <mergeCell ref="B77:B78"/>
    <mergeCell ref="C78:D78"/>
    <mergeCell ref="A79:A80"/>
    <mergeCell ref="B79:B80"/>
    <mergeCell ref="C80:D80"/>
    <mergeCell ref="A73:A74"/>
    <mergeCell ref="B73:B74"/>
    <mergeCell ref="C74:D74"/>
    <mergeCell ref="A75:A76"/>
    <mergeCell ref="B75:B76"/>
    <mergeCell ref="C76:D76"/>
    <mergeCell ref="A69:A70"/>
    <mergeCell ref="B69:B70"/>
    <mergeCell ref="C70:D70"/>
    <mergeCell ref="A71:A72"/>
    <mergeCell ref="B71:B72"/>
    <mergeCell ref="C72:D72"/>
    <mergeCell ref="A65:A66"/>
    <mergeCell ref="B65:B66"/>
    <mergeCell ref="C66:D66"/>
    <mergeCell ref="A67:A68"/>
    <mergeCell ref="B67:B68"/>
    <mergeCell ref="C68:D68"/>
    <mergeCell ref="A61:A62"/>
    <mergeCell ref="B61:B62"/>
    <mergeCell ref="C62:D62"/>
    <mergeCell ref="A63:A64"/>
    <mergeCell ref="B63:B64"/>
    <mergeCell ref="C64:D64"/>
    <mergeCell ref="A57:A58"/>
    <mergeCell ref="B57:B58"/>
    <mergeCell ref="C58:D58"/>
    <mergeCell ref="A59:A60"/>
    <mergeCell ref="B59:B60"/>
    <mergeCell ref="C60:D60"/>
    <mergeCell ref="A53:A54"/>
    <mergeCell ref="B53:B54"/>
    <mergeCell ref="C54:D54"/>
    <mergeCell ref="A55:A56"/>
    <mergeCell ref="B55:B56"/>
    <mergeCell ref="C56:D56"/>
    <mergeCell ref="K49:K50"/>
    <mergeCell ref="M49:M50"/>
    <mergeCell ref="C50:D50"/>
    <mergeCell ref="A51:A52"/>
    <mergeCell ref="B51:B52"/>
    <mergeCell ref="C52:D52"/>
    <mergeCell ref="L49:L50"/>
    <mergeCell ref="C42:D42"/>
    <mergeCell ref="A46:J46"/>
    <mergeCell ref="A49:A50"/>
    <mergeCell ref="B49:B50"/>
    <mergeCell ref="E49:I49"/>
    <mergeCell ref="J49:J50"/>
    <mergeCell ref="A28:A29"/>
    <mergeCell ref="B28:B29"/>
    <mergeCell ref="C29:D29"/>
    <mergeCell ref="A30:A31"/>
    <mergeCell ref="B30:B31"/>
    <mergeCell ref="C31:D31"/>
    <mergeCell ref="A24:A25"/>
    <mergeCell ref="B24:B25"/>
    <mergeCell ref="C25:D25"/>
    <mergeCell ref="A26:A27"/>
    <mergeCell ref="B26:B27"/>
    <mergeCell ref="C27:D27"/>
    <mergeCell ref="A20:A21"/>
    <mergeCell ref="B20:B21"/>
    <mergeCell ref="C21:D21"/>
    <mergeCell ref="A22:A23"/>
    <mergeCell ref="B22:B23"/>
    <mergeCell ref="C23:D23"/>
    <mergeCell ref="A16:A17"/>
    <mergeCell ref="B16:B17"/>
    <mergeCell ref="C17:D17"/>
    <mergeCell ref="A18:A19"/>
    <mergeCell ref="B18:B19"/>
    <mergeCell ref="C19:D19"/>
    <mergeCell ref="A12:A13"/>
    <mergeCell ref="B12:B13"/>
    <mergeCell ref="C13:D13"/>
    <mergeCell ref="A14:A15"/>
    <mergeCell ref="B14:B15"/>
    <mergeCell ref="C15:D15"/>
    <mergeCell ref="C9:D9"/>
    <mergeCell ref="A10:A11"/>
    <mergeCell ref="B10:B11"/>
    <mergeCell ref="C11:D11"/>
    <mergeCell ref="N49:N50"/>
    <mergeCell ref="I48:N48"/>
    <mergeCell ref="I5:J5"/>
    <mergeCell ref="A6:A7"/>
    <mergeCell ref="B6:B7"/>
    <mergeCell ref="C6:D6"/>
    <mergeCell ref="E6:I7"/>
    <mergeCell ref="J6:J7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2:M40"/>
  <sheetViews>
    <sheetView tabSelected="1" zoomScalePageLayoutView="0" workbookViewId="0" topLeftCell="A1">
      <selection activeCell="G14" sqref="G14:H15"/>
    </sheetView>
  </sheetViews>
  <sheetFormatPr defaultColWidth="9.140625" defaultRowHeight="12.75"/>
  <cols>
    <col min="1" max="1" width="16.421875" style="0" customWidth="1"/>
    <col min="2" max="2" width="15.421875" style="0" customWidth="1"/>
    <col min="3" max="3" width="14.57421875" style="0" customWidth="1"/>
    <col min="5" max="5" width="8.8515625" style="0" customWidth="1"/>
    <col min="6" max="6" width="13.421875" style="0" customWidth="1"/>
    <col min="7" max="7" width="14.57421875" style="0" customWidth="1"/>
    <col min="8" max="8" width="13.8515625" style="0" customWidth="1"/>
    <col min="9" max="9" width="15.28125" style="0" customWidth="1"/>
    <col min="10" max="10" width="14.57421875" style="0" customWidth="1"/>
    <col min="13" max="13" width="12.8515625" style="0" customWidth="1"/>
  </cols>
  <sheetData>
    <row r="2" spans="1:10" ht="12.75">
      <c r="A2" s="1225" t="s">
        <v>329</v>
      </c>
      <c r="B2" s="1225"/>
      <c r="C2" s="1225"/>
      <c r="D2" s="1225"/>
      <c r="E2" s="1225"/>
      <c r="F2" s="1225"/>
      <c r="G2" s="1225"/>
      <c r="H2" s="1225"/>
      <c r="I2" s="1225"/>
      <c r="J2" s="1225"/>
    </row>
    <row r="3" ht="9.75" customHeight="1"/>
    <row r="4" ht="13.5" thickBot="1"/>
    <row r="5" spans="1:11" ht="89.25" customHeight="1">
      <c r="A5" s="1226" t="s">
        <v>300</v>
      </c>
      <c r="B5" s="1228" t="s">
        <v>320</v>
      </c>
      <c r="C5" s="1229"/>
      <c r="D5" s="1230" t="s">
        <v>313</v>
      </c>
      <c r="E5" s="1231"/>
      <c r="F5" s="1234" t="s">
        <v>301</v>
      </c>
      <c r="G5" s="1234" t="s">
        <v>314</v>
      </c>
      <c r="H5" s="1234" t="s">
        <v>275</v>
      </c>
      <c r="I5" s="1230" t="s">
        <v>315</v>
      </c>
      <c r="J5" s="1236" t="s">
        <v>198</v>
      </c>
      <c r="K5" s="557"/>
    </row>
    <row r="6" spans="1:11" ht="33.75" thickBot="1">
      <c r="A6" s="1227"/>
      <c r="B6" s="647" t="s">
        <v>302</v>
      </c>
      <c r="C6" s="647" t="s">
        <v>323</v>
      </c>
      <c r="D6" s="1232"/>
      <c r="E6" s="1233"/>
      <c r="F6" s="1235"/>
      <c r="G6" s="1235"/>
      <c r="H6" s="1235"/>
      <c r="I6" s="1232"/>
      <c r="J6" s="1237"/>
      <c r="K6" s="557"/>
    </row>
    <row r="7" spans="1:11" ht="47.25" customHeight="1">
      <c r="A7" s="620" t="s">
        <v>303</v>
      </c>
      <c r="B7" s="621">
        <v>1265400</v>
      </c>
      <c r="C7" s="621">
        <v>223325</v>
      </c>
      <c r="D7" s="1240">
        <f>TA_čerpanie!I121</f>
        <v>1304140.3829177455</v>
      </c>
      <c r="E7" s="1241"/>
      <c r="F7" s="622">
        <f>D7/(B7+C7)*100</f>
        <v>87.60116092077082</v>
      </c>
      <c r="G7" s="623">
        <f>TA_čerpanie!K121</f>
        <v>782093.8980282813</v>
      </c>
      <c r="H7" s="622">
        <f>G7/B7*100</f>
        <v>61.80606116866455</v>
      </c>
      <c r="I7" s="624">
        <f>TA_čerpanie!M121</f>
        <v>632450.54</v>
      </c>
      <c r="J7" s="625">
        <f>I7/B7*100</f>
        <v>49.98028607554924</v>
      </c>
      <c r="K7" s="557"/>
    </row>
    <row r="8" spans="1:11" ht="48" customHeight="1">
      <c r="A8" s="626" t="s">
        <v>304</v>
      </c>
      <c r="B8" s="627">
        <v>12483384.01</v>
      </c>
      <c r="C8" s="627">
        <v>2202950.01</v>
      </c>
      <c r="D8" s="1242">
        <f>BG_čerpanie!I62</f>
        <v>16116890.40251477</v>
      </c>
      <c r="E8" s="1242"/>
      <c r="F8" s="628">
        <f>D8/(B8+C8)*100</f>
        <v>109.74073162551406</v>
      </c>
      <c r="G8" s="629">
        <f>BG_čerpanie!K62</f>
        <v>11854374.150619444</v>
      </c>
      <c r="H8" s="628">
        <f>G8/B8*100</f>
        <v>94.96122318374024</v>
      </c>
      <c r="I8" s="630">
        <f>BG_čerpanie!M62</f>
        <v>11855922.88205935</v>
      </c>
      <c r="J8" s="631">
        <f>I8/B8*100</f>
        <v>94.97362952675323</v>
      </c>
      <c r="K8" s="557"/>
    </row>
    <row r="9" spans="1:13" ht="58.5" customHeight="1" thickBot="1">
      <c r="A9" s="640" t="s">
        <v>305</v>
      </c>
      <c r="B9" s="641">
        <f>52044446.99-2999986-445974</f>
        <v>48598486.99</v>
      </c>
      <c r="C9" s="642">
        <f>8770387.03-529409-78701</f>
        <v>8162277.029999999</v>
      </c>
      <c r="D9" s="1243">
        <f>IP_čerapanie!L660</f>
        <v>50301915.86948618</v>
      </c>
      <c r="E9" s="1244"/>
      <c r="F9" s="642">
        <f>D9/(B9+C9)*100</f>
        <v>88.6209280970249</v>
      </c>
      <c r="G9" s="643">
        <f>IP_čerapanie!N660</f>
        <v>35161304.48760141</v>
      </c>
      <c r="H9" s="642">
        <f>G9/B9*100</f>
        <v>72.350615554835</v>
      </c>
      <c r="I9" s="644">
        <f>IP_čerapanie!P660</f>
        <v>33781713.74052446</v>
      </c>
      <c r="J9" s="645">
        <f>I9/B9*100</f>
        <v>69.51186309046133</v>
      </c>
      <c r="K9" s="557"/>
      <c r="M9" s="115"/>
    </row>
    <row r="10" spans="1:11" ht="30.75" customHeight="1" thickBot="1">
      <c r="A10" s="646" t="s">
        <v>306</v>
      </c>
      <c r="B10" s="650">
        <f>65793231-2999986-445974</f>
        <v>62347271</v>
      </c>
      <c r="C10" s="651">
        <f>11196662.04-529409-78701</f>
        <v>10588552.04</v>
      </c>
      <c r="D10" s="1245">
        <f>SUM(D7:E9)</f>
        <v>67722946.6549187</v>
      </c>
      <c r="E10" s="1246"/>
      <c r="F10" s="652">
        <f>D10/B11*100</f>
        <v>92.85279007241421</v>
      </c>
      <c r="G10" s="652">
        <f>SUM(G7:G9)</f>
        <v>47797772.53624913</v>
      </c>
      <c r="H10" s="652">
        <f>G10/B10*100</f>
        <v>76.66377656890408</v>
      </c>
      <c r="I10" s="653">
        <f>SUM(I7:I9)</f>
        <v>46270087.16258381</v>
      </c>
      <c r="J10" s="654">
        <f>I10/B10*100</f>
        <v>74.21349229958086</v>
      </c>
      <c r="K10" s="557"/>
    </row>
    <row r="11" spans="1:11" ht="15.75" thickBot="1">
      <c r="A11" s="558" t="s">
        <v>307</v>
      </c>
      <c r="B11" s="1247">
        <f>B10+C10</f>
        <v>72935823.03999999</v>
      </c>
      <c r="C11" s="1248"/>
      <c r="E11" s="559"/>
      <c r="F11" s="559"/>
      <c r="G11" s="559"/>
      <c r="H11" s="559"/>
      <c r="I11" s="559"/>
      <c r="J11" s="559"/>
      <c r="K11" s="559"/>
    </row>
    <row r="12" spans="1:11" ht="12.75">
      <c r="A12" s="558" t="s">
        <v>308</v>
      </c>
      <c r="E12" s="559"/>
      <c r="F12" s="559"/>
      <c r="G12" s="561"/>
      <c r="H12" s="559"/>
      <c r="I12" s="559"/>
      <c r="J12" s="559"/>
      <c r="K12" s="559"/>
    </row>
    <row r="13" spans="1:11" ht="12.75">
      <c r="A13" s="558" t="s">
        <v>325</v>
      </c>
      <c r="E13" s="559"/>
      <c r="F13" s="559"/>
      <c r="G13" s="561"/>
      <c r="H13" s="559"/>
      <c r="I13" s="559"/>
      <c r="J13" s="559"/>
      <c r="K13" s="559"/>
    </row>
    <row r="14" spans="1:11" ht="9" customHeight="1">
      <c r="A14" s="560"/>
      <c r="B14" s="559"/>
      <c r="C14" s="559"/>
      <c r="D14" s="559"/>
      <c r="E14" s="559"/>
      <c r="F14" s="561"/>
      <c r="G14" s="561"/>
      <c r="H14" s="561"/>
      <c r="I14" s="561"/>
      <c r="J14" s="561"/>
      <c r="K14" s="559"/>
    </row>
    <row r="15" spans="1:11" ht="12.75">
      <c r="A15" s="560" t="s">
        <v>309</v>
      </c>
      <c r="B15" s="70" t="s">
        <v>256</v>
      </c>
      <c r="C15" s="556" t="s">
        <v>284</v>
      </c>
      <c r="D15" s="556"/>
      <c r="E15" s="556"/>
      <c r="F15" s="562"/>
      <c r="G15" s="1238"/>
      <c r="H15" s="1238"/>
      <c r="I15" s="561"/>
      <c r="J15" s="561"/>
      <c r="K15" s="559"/>
    </row>
    <row r="16" spans="1:11" ht="12.75">
      <c r="A16" s="563"/>
      <c r="B16" s="70" t="s">
        <v>285</v>
      </c>
      <c r="C16" s="556" t="s">
        <v>286</v>
      </c>
      <c r="D16" s="556"/>
      <c r="E16" s="564"/>
      <c r="F16" s="1239"/>
      <c r="G16" s="1239"/>
      <c r="H16" s="561"/>
      <c r="I16" s="561"/>
      <c r="J16" s="561"/>
      <c r="K16" s="559"/>
    </row>
    <row r="17" spans="1:11" ht="12.75">
      <c r="A17" s="563"/>
      <c r="B17" s="70" t="s">
        <v>299</v>
      </c>
      <c r="C17" s="70" t="s">
        <v>321</v>
      </c>
      <c r="D17" s="70"/>
      <c r="E17" s="70"/>
      <c r="F17" s="565"/>
      <c r="G17" s="566"/>
      <c r="H17" s="63"/>
      <c r="I17" s="566"/>
      <c r="J17" s="566"/>
      <c r="K17" s="567"/>
    </row>
    <row r="18" spans="1:11" ht="12.75">
      <c r="A18" s="563"/>
      <c r="B18" s="70" t="s">
        <v>289</v>
      </c>
      <c r="C18" s="556" t="s">
        <v>290</v>
      </c>
      <c r="D18" s="556"/>
      <c r="E18" s="568"/>
      <c r="F18" s="568"/>
      <c r="G18" s="561"/>
      <c r="H18" s="561"/>
      <c r="I18" s="561"/>
      <c r="J18" s="561"/>
      <c r="K18" s="559"/>
    </row>
    <row r="19" spans="1:11" ht="12.75">
      <c r="A19" s="569"/>
      <c r="B19" s="70" t="s">
        <v>310</v>
      </c>
      <c r="C19" s="70" t="s">
        <v>322</v>
      </c>
      <c r="D19" s="1"/>
      <c r="E19" s="2"/>
      <c r="F19" s="2"/>
      <c r="G19" s="570"/>
      <c r="H19" s="570"/>
      <c r="I19" s="570"/>
      <c r="J19" s="570"/>
      <c r="K19" s="569"/>
    </row>
    <row r="20" spans="2:10" ht="12.75">
      <c r="B20" s="70" t="s">
        <v>316</v>
      </c>
      <c r="C20" s="571" t="s">
        <v>317</v>
      </c>
      <c r="F20" s="90"/>
      <c r="G20" s="90"/>
      <c r="H20" s="90"/>
      <c r="I20" s="90"/>
      <c r="J20" s="90"/>
    </row>
    <row r="21" s="90" customFormat="1" ht="12.75"/>
    <row r="22" spans="3:4" s="90" customFormat="1" ht="12.75">
      <c r="C22" s="1199"/>
      <c r="D22" s="1199"/>
    </row>
    <row r="23" spans="3:4" s="90" customFormat="1" ht="42.75" customHeight="1" hidden="1">
      <c r="C23" s="1199"/>
      <c r="D23" s="1199"/>
    </row>
    <row r="24" spans="2:4" s="90" customFormat="1" ht="12.75" hidden="1">
      <c r="B24" s="90">
        <f>BG_čerpanie!C111</f>
        <v>13779378.787653854</v>
      </c>
      <c r="C24" s="90">
        <f>BG_čerpanie!D111</f>
        <v>2431654.9429682004</v>
      </c>
      <c r="D24" s="90">
        <f>C24/B25*100</f>
        <v>14.99999928058192</v>
      </c>
    </row>
    <row r="25" spans="2:3" s="90" customFormat="1" ht="12.75" hidden="1">
      <c r="B25" s="1199">
        <f>B24+C24</f>
        <v>16211033.730622055</v>
      </c>
      <c r="C25" s="1199"/>
    </row>
    <row r="26" s="90" customFormat="1" ht="12.75" hidden="1"/>
    <row r="27" spans="2:4" s="90" customFormat="1" ht="12.75" hidden="1">
      <c r="B27" s="299">
        <f>IP_čerapanie!E682</f>
        <v>48346698.06999999</v>
      </c>
      <c r="C27" s="299">
        <f>IP_čerapanie!F682</f>
        <v>7899557.67</v>
      </c>
      <c r="D27" s="90">
        <f>C27/B28*100</f>
        <v>14.044592953024186</v>
      </c>
    </row>
    <row r="28" spans="2:3" s="90" customFormat="1" ht="12.75" hidden="1">
      <c r="B28" s="1055">
        <f>B27+C27</f>
        <v>56246255.739999995</v>
      </c>
      <c r="C28" s="1055"/>
    </row>
    <row r="29" s="90" customFormat="1" ht="12.75" hidden="1"/>
    <row r="30" spans="2:4" s="90" customFormat="1" ht="12.75" hidden="1">
      <c r="B30" s="90">
        <v>1447672.16</v>
      </c>
      <c r="C30" s="90">
        <v>255471.56</v>
      </c>
      <c r="D30" s="90">
        <f>C30/B31*100</f>
        <v>15.000000117429902</v>
      </c>
    </row>
    <row r="31" spans="2:3" ht="12.75" hidden="1">
      <c r="B31" s="1199">
        <f>B30+C30</f>
        <v>1703143.72</v>
      </c>
      <c r="C31" s="1200"/>
    </row>
    <row r="32" ht="12.75" hidden="1"/>
    <row r="33" ht="12.75" hidden="1">
      <c r="G33" s="90">
        <f>B35-D10</f>
        <v>6437486.535703346</v>
      </c>
    </row>
    <row r="34" spans="2:4" ht="12.75" hidden="1">
      <c r="B34" s="595">
        <f>B24+B27+B30</f>
        <v>63573749.017653845</v>
      </c>
      <c r="C34" s="595">
        <f>C24+C27+C30</f>
        <v>10586684.172968201</v>
      </c>
      <c r="D34">
        <f>C34/B35*100</f>
        <v>14.275380708411154</v>
      </c>
    </row>
    <row r="35" spans="2:3" ht="12.75" hidden="1">
      <c r="B35" s="1224">
        <f>B34+C34</f>
        <v>74160433.19062205</v>
      </c>
      <c r="C35" s="753"/>
    </row>
    <row r="36" ht="12.75" hidden="1">
      <c r="G36">
        <f>G33/B35*100</f>
        <v>8.680486694510568</v>
      </c>
    </row>
    <row r="37" ht="12.75" hidden="1"/>
    <row r="38" spans="3:6" ht="12.75" hidden="1">
      <c r="C38" s="1055">
        <v>19625213.7</v>
      </c>
      <c r="D38" s="1055"/>
      <c r="E38" s="1055"/>
      <c r="F38" s="1055"/>
    </row>
    <row r="39" ht="12.75" hidden="1"/>
    <row r="40" spans="4:5" ht="12.75" hidden="1">
      <c r="D40">
        <f>C38/B35*100</f>
        <v>26.463186440072878</v>
      </c>
      <c r="E40">
        <f>D10/B35*100</f>
        <v>91.31951330548944</v>
      </c>
    </row>
  </sheetData>
  <sheetProtection/>
  <mergeCells count="23">
    <mergeCell ref="B11:C11"/>
    <mergeCell ref="D7:E7"/>
    <mergeCell ref="D8:E8"/>
    <mergeCell ref="D9:E9"/>
    <mergeCell ref="D10:E10"/>
    <mergeCell ref="G15:H15"/>
    <mergeCell ref="F16:G16"/>
    <mergeCell ref="C22:D22"/>
    <mergeCell ref="C23:D23"/>
    <mergeCell ref="A2:J2"/>
    <mergeCell ref="A5:A6"/>
    <mergeCell ref="B5:C5"/>
    <mergeCell ref="D5:E6"/>
    <mergeCell ref="F5:F6"/>
    <mergeCell ref="G5:G6"/>
    <mergeCell ref="H5:H6"/>
    <mergeCell ref="I5:I6"/>
    <mergeCell ref="J5:J6"/>
    <mergeCell ref="C38:F38"/>
    <mergeCell ref="B28:C28"/>
    <mergeCell ref="B25:C25"/>
    <mergeCell ref="B31:C31"/>
    <mergeCell ref="B35:C35"/>
  </mergeCells>
  <printOptions/>
  <pageMargins left="0.5511811023622047" right="0.4330708661417323" top="0.7480314960629921" bottom="0.7480314960629921" header="0.31496062992125984" footer="0.31496062992125984"/>
  <pageSetup horizontalDpi="600" verticalDpi="600" orientation="landscape" paperSize="9" r:id="rId1"/>
  <headerFooter alignWithMargins="0">
    <oddHeader>&amp;LMinisterstvo financií SR
Odbor platieb</oddHeader>
    <oddFooter>&amp;LFM EHP/ NFM&amp;R&amp;D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3:IR700"/>
  <sheetViews>
    <sheetView zoomScalePageLayoutView="0" workbookViewId="0" topLeftCell="A1">
      <pane xSplit="1" ySplit="6" topLeftCell="B2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" sqref="J8"/>
    </sheetView>
  </sheetViews>
  <sheetFormatPr defaultColWidth="9.140625" defaultRowHeight="12.75"/>
  <cols>
    <col min="1" max="1" width="13.7109375" style="1" customWidth="1"/>
    <col min="2" max="2" width="7.8515625" style="1" customWidth="1"/>
    <col min="3" max="3" width="11.57421875" style="1" hidden="1" customWidth="1"/>
    <col min="4" max="4" width="12.140625" style="1" hidden="1" customWidth="1"/>
    <col min="5" max="6" width="10.8515625" style="295" bestFit="1" customWidth="1"/>
    <col min="7" max="7" width="12.57421875" style="275" hidden="1" customWidth="1"/>
    <col min="8" max="9" width="11.7109375" style="1" bestFit="1" customWidth="1"/>
    <col min="10" max="10" width="10.7109375" style="1" customWidth="1"/>
    <col min="11" max="11" width="10.8515625" style="1" customWidth="1"/>
    <col min="12" max="12" width="11.57421875" style="1" customWidth="1"/>
    <col min="13" max="13" width="12.140625" style="1" customWidth="1"/>
    <col min="14" max="15" width="12.7109375" style="2" customWidth="1"/>
    <col min="16" max="16" width="11.28125" style="1" customWidth="1"/>
    <col min="17" max="17" width="9.7109375" style="1" hidden="1" customWidth="1"/>
    <col min="18" max="18" width="12.421875" style="2" hidden="1" customWidth="1"/>
    <col min="19" max="19" width="12.00390625" style="1" customWidth="1"/>
    <col min="20" max="20" width="12.140625" style="2" hidden="1" customWidth="1"/>
    <col min="21" max="21" width="9.140625" style="2" customWidth="1"/>
    <col min="22" max="16384" width="9.140625" style="1" customWidth="1"/>
  </cols>
  <sheetData>
    <row r="1" ht="12.75"/>
    <row r="2" ht="12.75"/>
    <row r="3" spans="1:20" ht="15.75">
      <c r="A3" s="902" t="str">
        <f>IP_čerapanie!A3</f>
        <v>Kumulatívny prehľad čerpania a zúčtovania FM EHP/NFM k 30.06.2011 - Indviduálne projekty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</row>
    <row r="4" spans="1:20" ht="17.25" customHeight="1" thickBot="1">
      <c r="A4" s="2"/>
      <c r="N4" s="903" t="s">
        <v>87</v>
      </c>
      <c r="O4" s="903"/>
      <c r="P4" s="903"/>
      <c r="Q4" s="903"/>
      <c r="R4" s="903"/>
      <c r="S4" s="903"/>
      <c r="T4" s="903"/>
    </row>
    <row r="5" spans="1:252" s="4" customFormat="1" ht="30.75" customHeight="1" thickBot="1">
      <c r="A5" s="984" t="s">
        <v>0</v>
      </c>
      <c r="B5" s="984" t="s">
        <v>1</v>
      </c>
      <c r="C5" s="986" t="s">
        <v>262</v>
      </c>
      <c r="D5" s="987"/>
      <c r="E5" s="504" t="s">
        <v>145</v>
      </c>
      <c r="F5" s="592" t="s">
        <v>4</v>
      </c>
      <c r="G5" s="374"/>
      <c r="H5" s="1374" t="s">
        <v>89</v>
      </c>
      <c r="I5" s="1375"/>
      <c r="J5" s="1375"/>
      <c r="K5" s="1375"/>
      <c r="L5" s="1376"/>
      <c r="M5" s="973" t="s">
        <v>98</v>
      </c>
      <c r="N5" s="973" t="s">
        <v>86</v>
      </c>
      <c r="O5" s="973" t="s">
        <v>253</v>
      </c>
      <c r="P5" s="973" t="s">
        <v>255</v>
      </c>
      <c r="Q5" s="973" t="s">
        <v>198</v>
      </c>
      <c r="R5" s="1006"/>
      <c r="S5" s="1004" t="s">
        <v>254</v>
      </c>
      <c r="T5" s="1382" t="s">
        <v>265</v>
      </c>
      <c r="U5" s="431"/>
      <c r="V5" s="286"/>
      <c r="W5" s="286"/>
      <c r="X5" s="286"/>
      <c r="Y5" s="999"/>
      <c r="Z5" s="999"/>
      <c r="AA5" s="1003"/>
      <c r="AB5" s="1003"/>
      <c r="AC5" s="1000"/>
      <c r="AD5" s="1001"/>
      <c r="AE5" s="1001"/>
      <c r="AF5" s="1002"/>
      <c r="AG5" s="999"/>
      <c r="AH5" s="999"/>
      <c r="AI5" s="999"/>
      <c r="AJ5" s="999"/>
      <c r="AK5" s="999"/>
      <c r="AL5" s="999"/>
      <c r="AM5" s="999"/>
      <c r="AN5" s="999"/>
      <c r="AO5" s="999"/>
      <c r="AP5" s="1003"/>
      <c r="AQ5" s="1003"/>
      <c r="AR5" s="1000"/>
      <c r="AS5" s="1001"/>
      <c r="AT5" s="1001"/>
      <c r="AU5" s="1002"/>
      <c r="AV5" s="999"/>
      <c r="AW5" s="999"/>
      <c r="AX5" s="999"/>
      <c r="AY5" s="999"/>
      <c r="AZ5" s="999"/>
      <c r="BA5" s="999"/>
      <c r="BB5" s="999"/>
      <c r="BC5" s="999"/>
      <c r="BD5" s="999"/>
      <c r="BE5" s="1003"/>
      <c r="BF5" s="1003"/>
      <c r="BG5" s="1000"/>
      <c r="BH5" s="1001"/>
      <c r="BI5" s="1001"/>
      <c r="BJ5" s="1002"/>
      <c r="BK5" s="999"/>
      <c r="BL5" s="999"/>
      <c r="BM5" s="999"/>
      <c r="BN5" s="999"/>
      <c r="BO5" s="999"/>
      <c r="BP5" s="999"/>
      <c r="BQ5" s="999"/>
      <c r="BR5" s="999"/>
      <c r="BS5" s="999"/>
      <c r="BT5" s="1003"/>
      <c r="BU5" s="1003"/>
      <c r="BV5" s="1000"/>
      <c r="BW5" s="1001"/>
      <c r="BX5" s="1001"/>
      <c r="BY5" s="1002"/>
      <c r="BZ5" s="999"/>
      <c r="CA5" s="999"/>
      <c r="CB5" s="999"/>
      <c r="CC5" s="999"/>
      <c r="CD5" s="999"/>
      <c r="CE5" s="999"/>
      <c r="CF5" s="999"/>
      <c r="CG5" s="999"/>
      <c r="CH5" s="999"/>
      <c r="CI5" s="1003"/>
      <c r="CJ5" s="1003"/>
      <c r="CK5" s="1000"/>
      <c r="CL5" s="1001"/>
      <c r="CM5" s="1001"/>
      <c r="CN5" s="1002"/>
      <c r="CO5" s="999"/>
      <c r="CP5" s="999"/>
      <c r="CQ5" s="999"/>
      <c r="CR5" s="999"/>
      <c r="CS5" s="999"/>
      <c r="CT5" s="999"/>
      <c r="CU5" s="999"/>
      <c r="CV5" s="999"/>
      <c r="CW5" s="999"/>
      <c r="CX5" s="1003"/>
      <c r="CY5" s="1003"/>
      <c r="CZ5" s="1000"/>
      <c r="DA5" s="1001"/>
      <c r="DB5" s="1001"/>
      <c r="DC5" s="1002"/>
      <c r="DD5" s="999"/>
      <c r="DE5" s="999"/>
      <c r="DF5" s="3"/>
      <c r="DG5" s="3"/>
      <c r="DH5" s="3"/>
      <c r="DI5" s="3"/>
      <c r="DJ5" s="3"/>
      <c r="DK5" s="999"/>
      <c r="DL5" s="999"/>
      <c r="DM5" s="1003"/>
      <c r="DN5" s="1003"/>
      <c r="DO5" s="1000"/>
      <c r="DP5" s="1001"/>
      <c r="DQ5" s="1001"/>
      <c r="DR5" s="1002"/>
      <c r="DS5" s="999"/>
      <c r="DT5" s="999"/>
      <c r="DU5" s="999"/>
      <c r="DV5" s="999"/>
      <c r="DW5" s="999"/>
      <c r="DX5" s="999"/>
      <c r="DY5" s="999"/>
      <c r="DZ5" s="999"/>
      <c r="EA5" s="999"/>
      <c r="EB5" s="1003"/>
      <c r="EC5" s="1003"/>
      <c r="ED5" s="1000"/>
      <c r="EE5" s="1001"/>
      <c r="EF5" s="1001"/>
      <c r="EG5" s="1002"/>
      <c r="EH5" s="999"/>
      <c r="EI5" s="999"/>
      <c r="EJ5" s="999"/>
      <c r="EK5" s="999"/>
      <c r="EL5" s="999"/>
      <c r="EM5" s="999"/>
      <c r="EN5" s="999"/>
      <c r="EO5" s="999"/>
      <c r="EP5" s="999"/>
      <c r="EQ5" s="1003"/>
      <c r="ER5" s="1003"/>
      <c r="ES5" s="1000"/>
      <c r="ET5" s="1001"/>
      <c r="EU5" s="1001"/>
      <c r="EV5" s="1002"/>
      <c r="EW5" s="999"/>
      <c r="EX5" s="999"/>
      <c r="EY5" s="999"/>
      <c r="EZ5" s="999"/>
      <c r="FA5" s="999"/>
      <c r="FB5" s="999"/>
      <c r="FC5" s="999"/>
      <c r="FD5" s="999"/>
      <c r="FE5" s="999"/>
      <c r="FF5" s="1003"/>
      <c r="FG5" s="1003"/>
      <c r="FH5" s="1000"/>
      <c r="FI5" s="1001"/>
      <c r="FJ5" s="1001"/>
      <c r="FK5" s="1002"/>
      <c r="FL5" s="999"/>
      <c r="FM5" s="999"/>
      <c r="FN5" s="999"/>
      <c r="FO5" s="999"/>
      <c r="FP5" s="999"/>
      <c r="FQ5" s="999"/>
      <c r="FR5" s="999"/>
      <c r="FS5" s="999"/>
      <c r="FT5" s="999"/>
      <c r="FU5" s="1003"/>
      <c r="FV5" s="1003"/>
      <c r="FW5" s="1000"/>
      <c r="FX5" s="1001"/>
      <c r="FY5" s="1001"/>
      <c r="FZ5" s="1002"/>
      <c r="GA5" s="999"/>
      <c r="GB5" s="999"/>
      <c r="GC5" s="999"/>
      <c r="GD5" s="999"/>
      <c r="GE5" s="999"/>
      <c r="GF5" s="999"/>
      <c r="GG5" s="999"/>
      <c r="GH5" s="999"/>
      <c r="GI5" s="999"/>
      <c r="GJ5" s="1003"/>
      <c r="GK5" s="1003"/>
      <c r="GL5" s="1000"/>
      <c r="GM5" s="1001"/>
      <c r="GN5" s="1001"/>
      <c r="GO5" s="1002"/>
      <c r="GP5" s="999"/>
      <c r="GQ5" s="999"/>
      <c r="GR5" s="999"/>
      <c r="GS5" s="999"/>
      <c r="GT5" s="999"/>
      <c r="GU5" s="999"/>
      <c r="GV5" s="999"/>
      <c r="GW5" s="999"/>
      <c r="GX5" s="999"/>
      <c r="GY5" s="1003"/>
      <c r="GZ5" s="1003"/>
      <c r="HA5" s="1000"/>
      <c r="HB5" s="1001"/>
      <c r="HC5" s="1001"/>
      <c r="HD5" s="1002"/>
      <c r="HE5" s="999"/>
      <c r="HF5" s="999"/>
      <c r="HG5" s="999"/>
      <c r="HH5" s="999"/>
      <c r="HI5" s="999"/>
      <c r="HJ5" s="999"/>
      <c r="HK5" s="999"/>
      <c r="HL5" s="999"/>
      <c r="HM5" s="999"/>
      <c r="HN5" s="1003"/>
      <c r="HO5" s="1003"/>
      <c r="HP5" s="1000"/>
      <c r="HQ5" s="1001"/>
      <c r="HR5" s="1001"/>
      <c r="HS5" s="1002"/>
      <c r="HT5" s="999"/>
      <c r="HU5" s="999"/>
      <c r="HV5" s="999"/>
      <c r="HW5" s="999"/>
      <c r="HX5" s="999"/>
      <c r="HY5" s="999"/>
      <c r="HZ5" s="999"/>
      <c r="IA5" s="999"/>
      <c r="IB5" s="999"/>
      <c r="IC5" s="1003"/>
      <c r="ID5" s="1003"/>
      <c r="IE5" s="1000"/>
      <c r="IF5" s="1001"/>
      <c r="IG5" s="1001"/>
      <c r="IH5" s="1002"/>
      <c r="II5" s="999"/>
      <c r="IJ5" s="999"/>
      <c r="IK5" s="999"/>
      <c r="IL5" s="999"/>
      <c r="IM5" s="999"/>
      <c r="IN5" s="999"/>
      <c r="IO5" s="999"/>
      <c r="IP5" s="999"/>
      <c r="IQ5" s="999"/>
      <c r="IR5" s="1003"/>
    </row>
    <row r="6" spans="1:252" s="4" customFormat="1" ht="45.75" customHeight="1" thickBot="1">
      <c r="A6" s="985"/>
      <c r="B6" s="985"/>
      <c r="C6" s="409" t="s">
        <v>3</v>
      </c>
      <c r="D6" s="410" t="s">
        <v>4</v>
      </c>
      <c r="E6" s="632" t="s">
        <v>197</v>
      </c>
      <c r="F6" s="633"/>
      <c r="G6" s="404"/>
      <c r="H6" s="405" t="s">
        <v>256</v>
      </c>
      <c r="I6" s="406" t="s">
        <v>6</v>
      </c>
      <c r="J6" s="406" t="s">
        <v>257</v>
      </c>
      <c r="K6" s="407" t="s">
        <v>8</v>
      </c>
      <c r="L6" s="408" t="s">
        <v>258</v>
      </c>
      <c r="M6" s="974"/>
      <c r="N6" s="974"/>
      <c r="O6" s="974"/>
      <c r="P6" s="974"/>
      <c r="Q6" s="974"/>
      <c r="R6" s="1006"/>
      <c r="S6" s="1005"/>
      <c r="T6" s="1383"/>
      <c r="U6" s="362"/>
      <c r="V6" s="3"/>
      <c r="W6" s="3"/>
      <c r="X6" s="3"/>
      <c r="Y6" s="999"/>
      <c r="Z6" s="999"/>
      <c r="AA6" s="1003"/>
      <c r="AB6" s="1003"/>
      <c r="AC6" s="1000"/>
      <c r="AD6" s="3"/>
      <c r="AE6" s="3"/>
      <c r="AF6" s="1002"/>
      <c r="AG6" s="999"/>
      <c r="AH6" s="999"/>
      <c r="AI6" s="3"/>
      <c r="AJ6" s="3"/>
      <c r="AK6" s="3"/>
      <c r="AL6" s="3"/>
      <c r="AM6" s="3"/>
      <c r="AN6" s="999"/>
      <c r="AO6" s="999"/>
      <c r="AP6" s="1003"/>
      <c r="AQ6" s="1003"/>
      <c r="AR6" s="1000"/>
      <c r="AS6" s="3"/>
      <c r="AT6" s="3"/>
      <c r="AU6" s="1002"/>
      <c r="AV6" s="999"/>
      <c r="AW6" s="999"/>
      <c r="AX6" s="3"/>
      <c r="AY6" s="3"/>
      <c r="AZ6" s="3"/>
      <c r="BA6" s="3"/>
      <c r="BB6" s="3"/>
      <c r="BC6" s="999"/>
      <c r="BD6" s="999"/>
      <c r="BE6" s="1003"/>
      <c r="BF6" s="1003"/>
      <c r="BG6" s="1000"/>
      <c r="BH6" s="3"/>
      <c r="BI6" s="3"/>
      <c r="BJ6" s="1002"/>
      <c r="BK6" s="999"/>
      <c r="BL6" s="999"/>
      <c r="BM6" s="3"/>
      <c r="BN6" s="3"/>
      <c r="BO6" s="3"/>
      <c r="BP6" s="3"/>
      <c r="BQ6" s="3"/>
      <c r="BR6" s="999"/>
      <c r="BS6" s="999"/>
      <c r="BT6" s="1003"/>
      <c r="BU6" s="1003"/>
      <c r="BV6" s="1000"/>
      <c r="BW6" s="3"/>
      <c r="BX6" s="3"/>
      <c r="BY6" s="1002"/>
      <c r="BZ6" s="999"/>
      <c r="CA6" s="999"/>
      <c r="CB6" s="3"/>
      <c r="CC6" s="3"/>
      <c r="CD6" s="3"/>
      <c r="CE6" s="3"/>
      <c r="CF6" s="3"/>
      <c r="CG6" s="999"/>
      <c r="CH6" s="999"/>
      <c r="CI6" s="1003"/>
      <c r="CJ6" s="1003"/>
      <c r="CK6" s="1000"/>
      <c r="CL6" s="3"/>
      <c r="CM6" s="3"/>
      <c r="CN6" s="1002"/>
      <c r="CO6" s="999"/>
      <c r="CP6" s="999"/>
      <c r="CQ6" s="3"/>
      <c r="CR6" s="3"/>
      <c r="CS6" s="3"/>
      <c r="CT6" s="3"/>
      <c r="CU6" s="3"/>
      <c r="CV6" s="999"/>
      <c r="CW6" s="999"/>
      <c r="CX6" s="1003"/>
      <c r="CY6" s="1003"/>
      <c r="CZ6" s="1000"/>
      <c r="DA6" s="3"/>
      <c r="DB6" s="3"/>
      <c r="DC6" s="1002"/>
      <c r="DD6" s="999"/>
      <c r="DE6" s="999"/>
      <c r="DF6" s="3"/>
      <c r="DG6" s="3"/>
      <c r="DH6" s="3"/>
      <c r="DI6" s="3"/>
      <c r="DJ6" s="3"/>
      <c r="DK6" s="999"/>
      <c r="DL6" s="999"/>
      <c r="DM6" s="1003"/>
      <c r="DN6" s="1003"/>
      <c r="DO6" s="1000"/>
      <c r="DP6" s="3"/>
      <c r="DQ6" s="3"/>
      <c r="DR6" s="1002"/>
      <c r="DS6" s="999"/>
      <c r="DT6" s="999"/>
      <c r="DU6" s="3"/>
      <c r="DV6" s="3"/>
      <c r="DW6" s="3"/>
      <c r="DX6" s="3"/>
      <c r="DY6" s="3"/>
      <c r="DZ6" s="999"/>
      <c r="EA6" s="999"/>
      <c r="EB6" s="1003"/>
      <c r="EC6" s="1003"/>
      <c r="ED6" s="1000"/>
      <c r="EE6" s="3"/>
      <c r="EF6" s="3"/>
      <c r="EG6" s="1002"/>
      <c r="EH6" s="999"/>
      <c r="EI6" s="999"/>
      <c r="EJ6" s="3"/>
      <c r="EK6" s="3"/>
      <c r="EL6" s="3"/>
      <c r="EM6" s="3"/>
      <c r="EN6" s="3"/>
      <c r="EO6" s="999"/>
      <c r="EP6" s="999"/>
      <c r="EQ6" s="1003"/>
      <c r="ER6" s="1003"/>
      <c r="ES6" s="1000"/>
      <c r="ET6" s="3"/>
      <c r="EU6" s="3"/>
      <c r="EV6" s="1002"/>
      <c r="EW6" s="999"/>
      <c r="EX6" s="999"/>
      <c r="EY6" s="3"/>
      <c r="EZ6" s="3"/>
      <c r="FA6" s="3"/>
      <c r="FB6" s="3"/>
      <c r="FC6" s="3"/>
      <c r="FD6" s="999"/>
      <c r="FE6" s="999"/>
      <c r="FF6" s="1003"/>
      <c r="FG6" s="1003"/>
      <c r="FH6" s="1000"/>
      <c r="FI6" s="3"/>
      <c r="FJ6" s="3"/>
      <c r="FK6" s="1002"/>
      <c r="FL6" s="999"/>
      <c r="FM6" s="999"/>
      <c r="FN6" s="3"/>
      <c r="FO6" s="3"/>
      <c r="FP6" s="3"/>
      <c r="FQ6" s="3"/>
      <c r="FR6" s="3"/>
      <c r="FS6" s="999"/>
      <c r="FT6" s="999"/>
      <c r="FU6" s="1003"/>
      <c r="FV6" s="1003"/>
      <c r="FW6" s="1000"/>
      <c r="FX6" s="3"/>
      <c r="FY6" s="3"/>
      <c r="FZ6" s="1002"/>
      <c r="GA6" s="999"/>
      <c r="GB6" s="999"/>
      <c r="GC6" s="3"/>
      <c r="GD6" s="3"/>
      <c r="GE6" s="3"/>
      <c r="GF6" s="3"/>
      <c r="GG6" s="3"/>
      <c r="GH6" s="999"/>
      <c r="GI6" s="999"/>
      <c r="GJ6" s="1003"/>
      <c r="GK6" s="1003"/>
      <c r="GL6" s="1000"/>
      <c r="GM6" s="3"/>
      <c r="GN6" s="3"/>
      <c r="GO6" s="1002"/>
      <c r="GP6" s="999"/>
      <c r="GQ6" s="999"/>
      <c r="GR6" s="3"/>
      <c r="GS6" s="3"/>
      <c r="GT6" s="3"/>
      <c r="GU6" s="3"/>
      <c r="GV6" s="3"/>
      <c r="GW6" s="999"/>
      <c r="GX6" s="999"/>
      <c r="GY6" s="1003"/>
      <c r="GZ6" s="1003"/>
      <c r="HA6" s="1000"/>
      <c r="HB6" s="3"/>
      <c r="HC6" s="3"/>
      <c r="HD6" s="1002"/>
      <c r="HE6" s="999"/>
      <c r="HF6" s="999"/>
      <c r="HG6" s="3"/>
      <c r="HH6" s="3"/>
      <c r="HI6" s="3"/>
      <c r="HJ6" s="3"/>
      <c r="HK6" s="3"/>
      <c r="HL6" s="999"/>
      <c r="HM6" s="999"/>
      <c r="HN6" s="1003"/>
      <c r="HO6" s="1003"/>
      <c r="HP6" s="1000"/>
      <c r="HQ6" s="3"/>
      <c r="HR6" s="3"/>
      <c r="HS6" s="1002"/>
      <c r="HT6" s="999"/>
      <c r="HU6" s="999"/>
      <c r="HV6" s="3"/>
      <c r="HW6" s="3"/>
      <c r="HX6" s="3"/>
      <c r="HY6" s="3"/>
      <c r="HZ6" s="3"/>
      <c r="IA6" s="999"/>
      <c r="IB6" s="999"/>
      <c r="IC6" s="1003"/>
      <c r="ID6" s="1003"/>
      <c r="IE6" s="1000"/>
      <c r="IF6" s="3"/>
      <c r="IG6" s="3"/>
      <c r="IH6" s="1002"/>
      <c r="II6" s="999"/>
      <c r="IJ6" s="999"/>
      <c r="IK6" s="3"/>
      <c r="IL6" s="3"/>
      <c r="IM6" s="3"/>
      <c r="IN6" s="3"/>
      <c r="IO6" s="3"/>
      <c r="IP6" s="999"/>
      <c r="IQ6" s="999"/>
      <c r="IR6" s="1003"/>
    </row>
    <row r="7" spans="1:21" s="91" customFormat="1" ht="14.25" customHeight="1">
      <c r="A7" s="1378" t="s">
        <v>252</v>
      </c>
      <c r="B7" s="1380" t="s">
        <v>242</v>
      </c>
      <c r="C7" s="452">
        <v>594579</v>
      </c>
      <c r="D7" s="453">
        <v>104926</v>
      </c>
      <c r="E7" s="452">
        <v>643643.99</v>
      </c>
      <c r="F7" s="453">
        <v>113584.23</v>
      </c>
      <c r="G7" s="454">
        <v>757228.22</v>
      </c>
      <c r="H7" s="455"/>
      <c r="I7" s="456"/>
      <c r="J7" s="456"/>
      <c r="K7" s="457"/>
      <c r="L7" s="1260">
        <v>0</v>
      </c>
      <c r="M7" s="1290">
        <v>0</v>
      </c>
      <c r="N7" s="1384">
        <v>0</v>
      </c>
      <c r="O7" s="1469">
        <f>N7/E7*100</f>
        <v>0</v>
      </c>
      <c r="P7" s="1359">
        <v>0</v>
      </c>
      <c r="Q7" s="458"/>
      <c r="R7" s="459">
        <f>E7+F7</f>
        <v>757228.22</v>
      </c>
      <c r="S7" s="1371">
        <v>0</v>
      </c>
      <c r="T7" s="1350">
        <f>(C7/9)/C7*100</f>
        <v>11.11111111111111</v>
      </c>
      <c r="U7" s="292"/>
    </row>
    <row r="8" spans="1:21" s="91" customFormat="1" ht="14.25" customHeight="1" thickBot="1">
      <c r="A8" s="1379"/>
      <c r="B8" s="1381"/>
      <c r="C8" s="1335">
        <f>SUM(C7:D7)</f>
        <v>699505</v>
      </c>
      <c r="D8" s="1336"/>
      <c r="E8" s="1326">
        <v>757228.22</v>
      </c>
      <c r="F8" s="1327"/>
      <c r="G8" s="460">
        <v>757228.22</v>
      </c>
      <c r="H8" s="461"/>
      <c r="I8" s="462"/>
      <c r="J8" s="462"/>
      <c r="K8" s="463"/>
      <c r="L8" s="1377"/>
      <c r="M8" s="1293"/>
      <c r="N8" s="1385"/>
      <c r="O8" s="1470"/>
      <c r="P8" s="1362"/>
      <c r="Q8" s="464"/>
      <c r="R8" s="465">
        <f>E8</f>
        <v>757228.22</v>
      </c>
      <c r="S8" s="1372"/>
      <c r="T8" s="1370"/>
      <c r="U8" s="292"/>
    </row>
    <row r="9" spans="1:21" s="93" customFormat="1" ht="22.5" customHeight="1">
      <c r="A9" s="1378" t="s">
        <v>57</v>
      </c>
      <c r="B9" s="1380" t="s">
        <v>58</v>
      </c>
      <c r="C9" s="466">
        <v>516310</v>
      </c>
      <c r="D9" s="453">
        <v>57368</v>
      </c>
      <c r="E9" s="452">
        <v>571906.82</v>
      </c>
      <c r="F9" s="453">
        <v>63545.44</v>
      </c>
      <c r="G9" s="452">
        <v>635452.2624975104</v>
      </c>
      <c r="H9" s="492">
        <v>8262.55</v>
      </c>
      <c r="I9" s="493">
        <v>8262.55</v>
      </c>
      <c r="J9" s="493">
        <v>918.06</v>
      </c>
      <c r="K9" s="494">
        <v>918.06</v>
      </c>
      <c r="L9" s="1260">
        <f>SUM(H9:K10)</f>
        <v>72141.79999999999</v>
      </c>
      <c r="M9" s="1290">
        <f>L9/E10*100</f>
        <v>11.352827669540428</v>
      </c>
      <c r="N9" s="1384">
        <f>(17072.68*2)/30.126</f>
        <v>1133.418309765651</v>
      </c>
      <c r="O9" s="1469">
        <f>N9/E9*100</f>
        <v>0.1981823384735386</v>
      </c>
      <c r="P9" s="1359">
        <v>1155.93</v>
      </c>
      <c r="Q9" s="1371">
        <f>P9/E9*100</f>
        <v>0.20211858987798048</v>
      </c>
      <c r="R9" s="465">
        <f>E9+F9</f>
        <v>635452.26</v>
      </c>
      <c r="S9" s="1371">
        <f>P9/E9*100</f>
        <v>0.20211858987798048</v>
      </c>
      <c r="T9" s="1359">
        <f>(C280/9)/C280*100</f>
        <v>11.11111111111111</v>
      </c>
      <c r="U9" s="363"/>
    </row>
    <row r="10" spans="1:21" s="93" customFormat="1" ht="22.5" customHeight="1" thickBot="1">
      <c r="A10" s="1433"/>
      <c r="B10" s="1381"/>
      <c r="C10" s="1326">
        <f>SUM(C9:D9)</f>
        <v>573678</v>
      </c>
      <c r="D10" s="1327"/>
      <c r="E10" s="1335">
        <v>635452.26</v>
      </c>
      <c r="F10" s="1336"/>
      <c r="G10" s="460">
        <v>635452.2624975104</v>
      </c>
      <c r="H10" s="495">
        <v>24201.26</v>
      </c>
      <c r="I10" s="496">
        <v>24201.26</v>
      </c>
      <c r="J10" s="496">
        <v>2689.03</v>
      </c>
      <c r="K10" s="497">
        <v>2689.03</v>
      </c>
      <c r="L10" s="1261"/>
      <c r="M10" s="1293"/>
      <c r="N10" s="1385"/>
      <c r="O10" s="1470"/>
      <c r="P10" s="1362"/>
      <c r="Q10" s="1372"/>
      <c r="R10" s="465">
        <f>E10</f>
        <v>635452.26</v>
      </c>
      <c r="S10" s="1373"/>
      <c r="T10" s="1360"/>
      <c r="U10" s="363"/>
    </row>
    <row r="11" spans="1:21" s="93" customFormat="1" ht="22.5" customHeight="1">
      <c r="A11" s="1378" t="s">
        <v>144</v>
      </c>
      <c r="B11" s="1427" t="s">
        <v>243</v>
      </c>
      <c r="C11" s="471">
        <f>140443*2</f>
        <v>280886</v>
      </c>
      <c r="D11" s="484">
        <f>24784*2</f>
        <v>49568</v>
      </c>
      <c r="E11" s="483">
        <v>280886</v>
      </c>
      <c r="F11" s="484">
        <v>49568</v>
      </c>
      <c r="G11" s="485">
        <v>330454</v>
      </c>
      <c r="H11" s="471">
        <v>1041.25</v>
      </c>
      <c r="I11" s="491">
        <v>1041.25</v>
      </c>
      <c r="J11" s="491">
        <v>183.75</v>
      </c>
      <c r="K11" s="484">
        <v>183.75</v>
      </c>
      <c r="L11" s="1260">
        <f>SUM(H11:K15)</f>
        <v>126014.22</v>
      </c>
      <c r="M11" s="1256">
        <f>L11/E12*100</f>
        <v>38.13366459476962</v>
      </c>
      <c r="N11" s="1287">
        <f>3839+196+197</f>
        <v>4232</v>
      </c>
      <c r="O11" s="1474">
        <f>N11/E11*100</f>
        <v>1.5066610653432353</v>
      </c>
      <c r="P11" s="1290">
        <f>1920+1919+196+197</f>
        <v>4232</v>
      </c>
      <c r="Q11" s="469"/>
      <c r="R11" s="470">
        <f>E11+F11</f>
        <v>330454</v>
      </c>
      <c r="S11" s="1256">
        <v>0</v>
      </c>
      <c r="T11" s="590"/>
      <c r="U11" s="363"/>
    </row>
    <row r="12" spans="1:21" s="91" customFormat="1" ht="14.25" customHeight="1" thickBot="1">
      <c r="A12" s="1426"/>
      <c r="B12" s="1428"/>
      <c r="C12" s="1431">
        <f>C11+D11</f>
        <v>330454</v>
      </c>
      <c r="D12" s="1432"/>
      <c r="E12" s="1321">
        <v>330454</v>
      </c>
      <c r="F12" s="1322"/>
      <c r="G12" s="460">
        <v>330454</v>
      </c>
      <c r="H12" s="477">
        <v>12826.07</v>
      </c>
      <c r="I12" s="478">
        <v>12826.07</v>
      </c>
      <c r="J12" s="478">
        <v>2263.43</v>
      </c>
      <c r="K12" s="479">
        <v>2263.43</v>
      </c>
      <c r="L12" s="1291"/>
      <c r="M12" s="1257"/>
      <c r="N12" s="1325"/>
      <c r="O12" s="1475"/>
      <c r="P12" s="1291"/>
      <c r="Q12" s="469"/>
      <c r="R12" s="470">
        <f>E12</f>
        <v>330454</v>
      </c>
      <c r="S12" s="1257"/>
      <c r="T12" s="1357">
        <f>(E9-N9)/E9*100/9</f>
        <v>11.089090851280718</v>
      </c>
      <c r="U12" s="292"/>
    </row>
    <row r="13" spans="1:21" s="91" customFormat="1" ht="14.25" customHeight="1">
      <c r="A13" s="1067"/>
      <c r="B13" s="1067"/>
      <c r="C13" s="474"/>
      <c r="D13" s="476"/>
      <c r="E13" s="1144"/>
      <c r="F13" s="1145"/>
      <c r="G13" s="473"/>
      <c r="H13" s="477">
        <v>878.08</v>
      </c>
      <c r="I13" s="478">
        <v>878.08</v>
      </c>
      <c r="J13" s="478">
        <v>154.95</v>
      </c>
      <c r="K13" s="479">
        <v>154.95</v>
      </c>
      <c r="L13" s="1127"/>
      <c r="M13" s="1127"/>
      <c r="N13" s="1156"/>
      <c r="O13" s="1127"/>
      <c r="P13" s="1127"/>
      <c r="Q13" s="487"/>
      <c r="R13" s="470"/>
      <c r="S13" s="1127"/>
      <c r="T13" s="1358"/>
      <c r="U13" s="292"/>
    </row>
    <row r="14" spans="1:21" s="93" customFormat="1" ht="19.5" customHeight="1">
      <c r="A14" s="1067"/>
      <c r="B14" s="1067"/>
      <c r="C14" s="474"/>
      <c r="D14" s="476"/>
      <c r="E14" s="1144"/>
      <c r="F14" s="1145"/>
      <c r="G14" s="473"/>
      <c r="H14" s="477">
        <v>38613.66</v>
      </c>
      <c r="I14" s="478">
        <v>38613.66</v>
      </c>
      <c r="J14" s="478">
        <v>6814.17</v>
      </c>
      <c r="K14" s="479">
        <v>6814.17</v>
      </c>
      <c r="L14" s="1127"/>
      <c r="M14" s="1127"/>
      <c r="N14" s="1156"/>
      <c r="O14" s="1127"/>
      <c r="P14" s="1127"/>
      <c r="Q14" s="487"/>
      <c r="R14" s="470"/>
      <c r="S14" s="1127"/>
      <c r="T14" s="1357">
        <f>(C11/9)/C11*100</f>
        <v>11.11111111111111</v>
      </c>
      <c r="U14" s="363"/>
    </row>
    <row r="15" spans="1:21" s="93" customFormat="1" ht="24" customHeight="1" thickBot="1">
      <c r="A15" s="1128"/>
      <c r="B15" s="1128"/>
      <c r="C15" s="474"/>
      <c r="D15" s="476"/>
      <c r="E15" s="1146"/>
      <c r="F15" s="1147"/>
      <c r="G15" s="473"/>
      <c r="H15" s="474">
        <v>196.99</v>
      </c>
      <c r="I15" s="475">
        <v>196.99</v>
      </c>
      <c r="J15" s="475">
        <v>34.76</v>
      </c>
      <c r="K15" s="500">
        <v>34.76</v>
      </c>
      <c r="L15" s="1157"/>
      <c r="M15" s="1157"/>
      <c r="N15" s="1132"/>
      <c r="O15" s="1157"/>
      <c r="P15" s="1157"/>
      <c r="Q15" s="487"/>
      <c r="R15" s="470"/>
      <c r="S15" s="1157"/>
      <c r="T15" s="1358"/>
      <c r="U15" s="363"/>
    </row>
    <row r="16" spans="1:21" s="93" customFormat="1" ht="24" customHeight="1">
      <c r="A16" s="1378" t="s">
        <v>229</v>
      </c>
      <c r="B16" s="1427" t="s">
        <v>230</v>
      </c>
      <c r="C16" s="466">
        <f>467925+467925</f>
        <v>935850</v>
      </c>
      <c r="D16" s="453">
        <f>82575*2</f>
        <v>165150</v>
      </c>
      <c r="E16" s="455">
        <v>935850</v>
      </c>
      <c r="F16" s="467">
        <v>165150</v>
      </c>
      <c r="G16" s="468">
        <v>1101000</v>
      </c>
      <c r="H16" s="466">
        <v>1487.5</v>
      </c>
      <c r="I16" s="472">
        <v>1487.5</v>
      </c>
      <c r="J16" s="472">
        <v>262.5</v>
      </c>
      <c r="K16" s="486">
        <v>262.5</v>
      </c>
      <c r="L16" s="1260">
        <f>SUM(H16:K24)</f>
        <v>738047.5400000003</v>
      </c>
      <c r="M16" s="1256">
        <f>L16/E17*100</f>
        <v>67.03429064486832</v>
      </c>
      <c r="N16" s="1287">
        <v>28586</v>
      </c>
      <c r="O16" s="1474">
        <f>N16/E16*100</f>
        <v>3.054549340172036</v>
      </c>
      <c r="P16" s="1290">
        <f>2975+190+191+12615*2</f>
        <v>28586</v>
      </c>
      <c r="Q16" s="487"/>
      <c r="R16" s="470">
        <f>E16+F16</f>
        <v>1101000</v>
      </c>
      <c r="S16" s="1256">
        <f>P16/E16*100</f>
        <v>3.054549340172036</v>
      </c>
      <c r="T16" s="590"/>
      <c r="U16" s="363"/>
    </row>
    <row r="17" spans="1:21" s="93" customFormat="1" ht="24" customHeight="1">
      <c r="A17" s="1426"/>
      <c r="B17" s="1428"/>
      <c r="C17" s="1331">
        <f>C16+D16</f>
        <v>1101000</v>
      </c>
      <c r="D17" s="1332"/>
      <c r="E17" s="1321">
        <v>1101000</v>
      </c>
      <c r="F17" s="1322"/>
      <c r="G17" s="684">
        <v>1101000</v>
      </c>
      <c r="H17" s="477">
        <v>190.51</v>
      </c>
      <c r="I17" s="478">
        <v>190.51</v>
      </c>
      <c r="J17" s="478">
        <v>33.63</v>
      </c>
      <c r="K17" s="479">
        <v>33.62</v>
      </c>
      <c r="L17" s="1318"/>
      <c r="M17" s="1257"/>
      <c r="N17" s="1288"/>
      <c r="O17" s="1475"/>
      <c r="P17" s="1292"/>
      <c r="Q17" s="487"/>
      <c r="R17" s="470">
        <f>E17</f>
        <v>1101000</v>
      </c>
      <c r="S17" s="1257"/>
      <c r="T17" s="590"/>
      <c r="U17" s="363"/>
    </row>
    <row r="18" spans="1:21" s="93" customFormat="1" ht="24" customHeight="1" thickBot="1">
      <c r="A18" s="1426"/>
      <c r="B18" s="1428"/>
      <c r="C18" s="529"/>
      <c r="D18" s="530"/>
      <c r="E18" s="1323"/>
      <c r="F18" s="1324"/>
      <c r="G18" s="613"/>
      <c r="H18" s="477">
        <v>5302.74</v>
      </c>
      <c r="I18" s="478">
        <v>5302.74</v>
      </c>
      <c r="J18" s="478">
        <v>935.78</v>
      </c>
      <c r="K18" s="479">
        <v>935.78</v>
      </c>
      <c r="L18" s="1318"/>
      <c r="M18" s="1257"/>
      <c r="N18" s="1288"/>
      <c r="O18" s="1475"/>
      <c r="P18" s="1292"/>
      <c r="Q18" s="487"/>
      <c r="R18" s="470"/>
      <c r="S18" s="1257"/>
      <c r="T18" s="590"/>
      <c r="U18" s="363"/>
    </row>
    <row r="19" spans="1:21" s="93" customFormat="1" ht="20.25" customHeight="1">
      <c r="A19" s="1426"/>
      <c r="B19" s="1428"/>
      <c r="C19" s="529"/>
      <c r="D19" s="530"/>
      <c r="E19" s="1323"/>
      <c r="F19" s="1324"/>
      <c r="G19" s="613"/>
      <c r="H19" s="477">
        <v>7312.57</v>
      </c>
      <c r="I19" s="478">
        <v>7312.57</v>
      </c>
      <c r="J19" s="478">
        <v>1290.45</v>
      </c>
      <c r="K19" s="479">
        <v>1290.45</v>
      </c>
      <c r="L19" s="1318"/>
      <c r="M19" s="1257"/>
      <c r="N19" s="1288"/>
      <c r="O19" s="1475"/>
      <c r="P19" s="1292"/>
      <c r="Q19" s="487"/>
      <c r="R19" s="470"/>
      <c r="S19" s="1257"/>
      <c r="T19" s="966">
        <f>(C16/9)/C16*100</f>
        <v>11.11111111111111</v>
      </c>
      <c r="U19" s="363"/>
    </row>
    <row r="20" spans="1:21" s="93" customFormat="1" ht="20.25" customHeight="1" thickBot="1">
      <c r="A20" s="1067"/>
      <c r="B20" s="1067"/>
      <c r="C20" s="529"/>
      <c r="D20" s="530"/>
      <c r="E20" s="1144"/>
      <c r="F20" s="1145"/>
      <c r="G20" s="613"/>
      <c r="H20" s="477">
        <v>55295.15</v>
      </c>
      <c r="I20" s="478">
        <v>55295.15</v>
      </c>
      <c r="J20" s="478">
        <v>9757.97</v>
      </c>
      <c r="K20" s="479">
        <v>9757.97</v>
      </c>
      <c r="L20" s="1127"/>
      <c r="M20" s="1127"/>
      <c r="N20" s="1156"/>
      <c r="O20" s="1127"/>
      <c r="P20" s="1127"/>
      <c r="Q20" s="487"/>
      <c r="R20" s="470"/>
      <c r="S20" s="1127"/>
      <c r="T20" s="967">
        <f>(C17/9)/C17*100</f>
        <v>11.11111111111111</v>
      </c>
      <c r="U20" s="363"/>
    </row>
    <row r="21" spans="1:21" s="93" customFormat="1" ht="20.25" customHeight="1">
      <c r="A21" s="1067"/>
      <c r="B21" s="1067"/>
      <c r="C21" s="529"/>
      <c r="D21" s="530"/>
      <c r="E21" s="1144"/>
      <c r="F21" s="1145"/>
      <c r="G21" s="613"/>
      <c r="H21" s="477">
        <v>71295.91</v>
      </c>
      <c r="I21" s="478">
        <v>71295.91</v>
      </c>
      <c r="J21" s="478">
        <v>12581.64</v>
      </c>
      <c r="K21" s="479">
        <v>12581.63</v>
      </c>
      <c r="L21" s="1127"/>
      <c r="M21" s="1127"/>
      <c r="N21" s="1156"/>
      <c r="O21" s="1127"/>
      <c r="P21" s="1127"/>
      <c r="Q21" s="487"/>
      <c r="R21" s="470"/>
      <c r="S21" s="1127"/>
      <c r="T21" s="590"/>
      <c r="U21" s="363"/>
    </row>
    <row r="22" spans="1:21" s="93" customFormat="1" ht="20.25" customHeight="1">
      <c r="A22" s="1067"/>
      <c r="B22" s="1067"/>
      <c r="C22" s="529"/>
      <c r="D22" s="530"/>
      <c r="E22" s="1144"/>
      <c r="F22" s="1145"/>
      <c r="G22" s="613"/>
      <c r="H22" s="477">
        <v>40861.4</v>
      </c>
      <c r="I22" s="478">
        <v>40861.4</v>
      </c>
      <c r="J22" s="478">
        <v>7210.84</v>
      </c>
      <c r="K22" s="479">
        <v>7210.83</v>
      </c>
      <c r="L22" s="1127"/>
      <c r="M22" s="1127"/>
      <c r="N22" s="1156"/>
      <c r="O22" s="1127"/>
      <c r="P22" s="1127"/>
      <c r="Q22" s="487"/>
      <c r="R22" s="470"/>
      <c r="S22" s="1127"/>
      <c r="T22" s="590"/>
      <c r="U22" s="363"/>
    </row>
    <row r="23" spans="1:21" s="93" customFormat="1" ht="20.25" customHeight="1">
      <c r="A23" s="1067"/>
      <c r="B23" s="1067"/>
      <c r="C23" s="529"/>
      <c r="D23" s="530"/>
      <c r="E23" s="1144"/>
      <c r="F23" s="1145"/>
      <c r="G23" s="613"/>
      <c r="H23" s="477">
        <v>83610.52</v>
      </c>
      <c r="I23" s="478">
        <v>83610.52</v>
      </c>
      <c r="J23" s="478">
        <v>14754.8</v>
      </c>
      <c r="K23" s="479">
        <v>14754.8</v>
      </c>
      <c r="L23" s="1127"/>
      <c r="M23" s="1127"/>
      <c r="N23" s="1156"/>
      <c r="O23" s="1127"/>
      <c r="P23" s="1127"/>
      <c r="Q23" s="487"/>
      <c r="R23" s="470"/>
      <c r="S23" s="1127"/>
      <c r="T23" s="590"/>
      <c r="U23" s="363"/>
    </row>
    <row r="24" spans="1:21" s="93" customFormat="1" ht="20.25" customHeight="1" thickBot="1">
      <c r="A24" s="1128"/>
      <c r="B24" s="1128"/>
      <c r="C24" s="529"/>
      <c r="D24" s="530"/>
      <c r="E24" s="1146"/>
      <c r="F24" s="1147"/>
      <c r="G24" s="613"/>
      <c r="H24" s="807">
        <v>48313.89</v>
      </c>
      <c r="I24" s="801">
        <v>48313.89</v>
      </c>
      <c r="J24" s="801">
        <v>8525.99</v>
      </c>
      <c r="K24" s="808">
        <v>8525.98</v>
      </c>
      <c r="L24" s="1157"/>
      <c r="M24" s="1157"/>
      <c r="N24" s="1132"/>
      <c r="O24" s="1157"/>
      <c r="P24" s="1157"/>
      <c r="Q24" s="487"/>
      <c r="R24" s="470"/>
      <c r="S24" s="1157"/>
      <c r="T24" s="590"/>
      <c r="U24" s="363"/>
    </row>
    <row r="25" spans="1:21" s="93" customFormat="1" ht="20.25" customHeight="1">
      <c r="A25" s="1427" t="s">
        <v>211</v>
      </c>
      <c r="B25" s="1427" t="s">
        <v>212</v>
      </c>
      <c r="C25" s="471">
        <f>139672*2</f>
        <v>279344</v>
      </c>
      <c r="D25" s="484">
        <f>24648*2</f>
        <v>49296</v>
      </c>
      <c r="E25" s="471">
        <v>279344</v>
      </c>
      <c r="F25" s="484">
        <v>49296</v>
      </c>
      <c r="G25" s="485">
        <v>328640</v>
      </c>
      <c r="H25" s="471">
        <v>10.67</v>
      </c>
      <c r="I25" s="491">
        <v>10.67</v>
      </c>
      <c r="J25" s="491">
        <v>1.89</v>
      </c>
      <c r="K25" s="484">
        <v>1.88</v>
      </c>
      <c r="L25" s="1260">
        <f>SUM(H25:K36)</f>
        <v>95719.42</v>
      </c>
      <c r="M25" s="1256">
        <f>L25/E26*100</f>
        <v>29.12591893865628</v>
      </c>
      <c r="N25" s="1287">
        <f>10+11+6+6+2154+2155+3563+8424</f>
        <v>16329</v>
      </c>
      <c r="O25" s="1290">
        <f>N25/E25*100</f>
        <v>5.84548084082708</v>
      </c>
      <c r="P25" s="1290">
        <v>16329</v>
      </c>
      <c r="Q25" s="469"/>
      <c r="R25" s="470">
        <f>E25+F25</f>
        <v>328640</v>
      </c>
      <c r="S25" s="1256">
        <f>P25/E25*100</f>
        <v>5.84548084082708</v>
      </c>
      <c r="T25" s="590"/>
      <c r="U25" s="363"/>
    </row>
    <row r="26" spans="1:21" s="93" customFormat="1" ht="20.25" customHeight="1">
      <c r="A26" s="1428"/>
      <c r="B26" s="1428"/>
      <c r="C26" s="1331">
        <f>C25+D25</f>
        <v>328640</v>
      </c>
      <c r="D26" s="1332"/>
      <c r="E26" s="1321">
        <v>328640</v>
      </c>
      <c r="F26" s="1322"/>
      <c r="G26" s="1315">
        <v>328640</v>
      </c>
      <c r="H26" s="477">
        <v>756.5</v>
      </c>
      <c r="I26" s="478">
        <v>756.5</v>
      </c>
      <c r="J26" s="478">
        <v>133.5</v>
      </c>
      <c r="K26" s="479">
        <v>133.5</v>
      </c>
      <c r="L26" s="1318"/>
      <c r="M26" s="1257"/>
      <c r="N26" s="1288"/>
      <c r="O26" s="1292"/>
      <c r="P26" s="1292"/>
      <c r="Q26" s="469"/>
      <c r="R26" s="470"/>
      <c r="S26" s="1257"/>
      <c r="T26" s="590"/>
      <c r="U26" s="363"/>
    </row>
    <row r="27" spans="1:21" s="93" customFormat="1" ht="20.25" customHeight="1" thickBot="1">
      <c r="A27" s="1428"/>
      <c r="B27" s="1428"/>
      <c r="C27" s="1333"/>
      <c r="D27" s="1334"/>
      <c r="E27" s="1323"/>
      <c r="F27" s="1324"/>
      <c r="G27" s="1316"/>
      <c r="H27" s="477">
        <v>1176.94</v>
      </c>
      <c r="I27" s="478">
        <v>1176.94</v>
      </c>
      <c r="J27" s="478">
        <v>207.7</v>
      </c>
      <c r="K27" s="479">
        <v>207.69</v>
      </c>
      <c r="L27" s="1318"/>
      <c r="M27" s="1257"/>
      <c r="N27" s="1288"/>
      <c r="O27" s="1292"/>
      <c r="P27" s="1292"/>
      <c r="Q27" s="469"/>
      <c r="R27" s="470"/>
      <c r="S27" s="1257"/>
      <c r="T27" s="590"/>
      <c r="U27" s="363"/>
    </row>
    <row r="28" spans="1:21" s="93" customFormat="1" ht="13.5" thickBot="1">
      <c r="A28" s="1428"/>
      <c r="B28" s="1428"/>
      <c r="C28" s="1335"/>
      <c r="D28" s="1336"/>
      <c r="E28" s="1323"/>
      <c r="F28" s="1324"/>
      <c r="G28" s="1317"/>
      <c r="H28" s="477">
        <v>5.74</v>
      </c>
      <c r="I28" s="478">
        <v>5.74</v>
      </c>
      <c r="J28" s="478">
        <v>1.01</v>
      </c>
      <c r="K28" s="479">
        <v>1.01</v>
      </c>
      <c r="L28" s="1318"/>
      <c r="M28" s="1257"/>
      <c r="N28" s="1288"/>
      <c r="O28" s="1292"/>
      <c r="P28" s="1292"/>
      <c r="Q28" s="469"/>
      <c r="R28" s="470">
        <f>E26</f>
        <v>328640</v>
      </c>
      <c r="S28" s="1257"/>
      <c r="T28" s="1359">
        <f>(E25-N25)/E25*100/9</f>
        <v>10.461613239908102</v>
      </c>
      <c r="U28" s="363"/>
    </row>
    <row r="29" spans="1:21" s="93" customFormat="1" ht="12.75">
      <c r="A29" s="1428"/>
      <c r="B29" s="1428"/>
      <c r="C29" s="529"/>
      <c r="D29" s="530"/>
      <c r="E29" s="1323"/>
      <c r="F29" s="1324"/>
      <c r="G29" s="502"/>
      <c r="H29" s="477">
        <v>1421.8</v>
      </c>
      <c r="I29" s="478">
        <v>1421.8</v>
      </c>
      <c r="J29" s="478">
        <v>250.92</v>
      </c>
      <c r="K29" s="479">
        <v>250.91</v>
      </c>
      <c r="L29" s="1318"/>
      <c r="M29" s="1257"/>
      <c r="N29" s="1288"/>
      <c r="O29" s="1292"/>
      <c r="P29" s="1292"/>
      <c r="Q29" s="469"/>
      <c r="R29" s="470"/>
      <c r="S29" s="1257"/>
      <c r="T29" s="1360">
        <f>(C26/9)/C26*100</f>
        <v>11.11111111111111</v>
      </c>
      <c r="U29" s="363"/>
    </row>
    <row r="30" spans="1:21" s="93" customFormat="1" ht="12.75">
      <c r="A30" s="1428"/>
      <c r="B30" s="1428"/>
      <c r="C30" s="529"/>
      <c r="D30" s="530"/>
      <c r="E30" s="1323"/>
      <c r="F30" s="1324"/>
      <c r="G30" s="502"/>
      <c r="H30" s="477">
        <v>220.66</v>
      </c>
      <c r="I30" s="478">
        <v>220.66</v>
      </c>
      <c r="J30" s="478">
        <v>38.94</v>
      </c>
      <c r="K30" s="479">
        <v>38.94</v>
      </c>
      <c r="L30" s="1318"/>
      <c r="M30" s="1257"/>
      <c r="N30" s="1288"/>
      <c r="O30" s="1292"/>
      <c r="P30" s="1292"/>
      <c r="Q30" s="469"/>
      <c r="R30" s="470"/>
      <c r="S30" s="1257"/>
      <c r="T30" s="1360" t="e">
        <f>(C27/9)/C27*100</f>
        <v>#DIV/0!</v>
      </c>
      <c r="U30" s="363"/>
    </row>
    <row r="31" spans="1:21" s="93" customFormat="1" ht="12.75">
      <c r="A31" s="1428"/>
      <c r="B31" s="1428"/>
      <c r="C31" s="529"/>
      <c r="D31" s="530"/>
      <c r="E31" s="1323"/>
      <c r="F31" s="1324"/>
      <c r="G31" s="502"/>
      <c r="H31" s="477">
        <v>3691.01</v>
      </c>
      <c r="I31" s="478">
        <v>3691.01</v>
      </c>
      <c r="J31" s="478">
        <v>651.36</v>
      </c>
      <c r="K31" s="479">
        <v>651.35</v>
      </c>
      <c r="L31" s="1318"/>
      <c r="M31" s="1257"/>
      <c r="N31" s="1288"/>
      <c r="O31" s="1292"/>
      <c r="P31" s="1292"/>
      <c r="Q31" s="469"/>
      <c r="R31" s="470"/>
      <c r="S31" s="1257"/>
      <c r="T31" s="1360"/>
      <c r="U31" s="363"/>
    </row>
    <row r="32" spans="1:21" s="93" customFormat="1" ht="12.75">
      <c r="A32" s="1428"/>
      <c r="B32" s="1428"/>
      <c r="C32" s="529"/>
      <c r="D32" s="530"/>
      <c r="E32" s="1323"/>
      <c r="F32" s="1324"/>
      <c r="G32" s="502"/>
      <c r="H32" s="477">
        <v>359.61</v>
      </c>
      <c r="I32" s="478">
        <v>359.61</v>
      </c>
      <c r="J32" s="478">
        <v>63.47</v>
      </c>
      <c r="K32" s="479">
        <v>63.46</v>
      </c>
      <c r="L32" s="1318"/>
      <c r="M32" s="1257"/>
      <c r="N32" s="1288"/>
      <c r="O32" s="1292"/>
      <c r="P32" s="1292"/>
      <c r="Q32" s="469"/>
      <c r="R32" s="470"/>
      <c r="S32" s="1257"/>
      <c r="T32" s="1360"/>
      <c r="U32" s="363"/>
    </row>
    <row r="33" spans="1:21" s="93" customFormat="1" ht="13.5" thickBot="1">
      <c r="A33" s="1428"/>
      <c r="B33" s="1428"/>
      <c r="C33" s="529"/>
      <c r="D33" s="530"/>
      <c r="E33" s="1323"/>
      <c r="F33" s="1324"/>
      <c r="G33" s="502"/>
      <c r="H33" s="477">
        <v>1541</v>
      </c>
      <c r="I33" s="478">
        <v>1541</v>
      </c>
      <c r="J33" s="478">
        <v>271.94</v>
      </c>
      <c r="K33" s="479">
        <v>271.94</v>
      </c>
      <c r="L33" s="1318"/>
      <c r="M33" s="1257"/>
      <c r="N33" s="1288"/>
      <c r="O33" s="1292"/>
      <c r="P33" s="1292"/>
      <c r="Q33" s="469"/>
      <c r="R33" s="470"/>
      <c r="S33" s="1257"/>
      <c r="T33" s="1362"/>
      <c r="U33" s="363"/>
    </row>
    <row r="34" spans="1:21" s="93" customFormat="1" ht="12.75">
      <c r="A34" s="1428"/>
      <c r="B34" s="1428"/>
      <c r="C34" s="529"/>
      <c r="D34" s="530"/>
      <c r="E34" s="1323"/>
      <c r="F34" s="1324"/>
      <c r="G34" s="502"/>
      <c r="H34" s="477">
        <v>520.57</v>
      </c>
      <c r="I34" s="478">
        <v>520.57</v>
      </c>
      <c r="J34" s="478">
        <v>91.88</v>
      </c>
      <c r="K34" s="479">
        <v>91.87</v>
      </c>
      <c r="L34" s="1318"/>
      <c r="M34" s="1257"/>
      <c r="N34" s="1288"/>
      <c r="O34" s="1292"/>
      <c r="P34" s="1292"/>
      <c r="Q34" s="469"/>
      <c r="R34" s="470"/>
      <c r="S34" s="1257"/>
      <c r="T34" s="590"/>
      <c r="U34" s="363"/>
    </row>
    <row r="35" spans="1:21" s="93" customFormat="1" ht="12.75">
      <c r="A35" s="1428"/>
      <c r="B35" s="1428"/>
      <c r="C35" s="676"/>
      <c r="D35" s="676"/>
      <c r="E35" s="1323"/>
      <c r="F35" s="1324"/>
      <c r="G35" s="502"/>
      <c r="H35" s="477">
        <v>3220.97</v>
      </c>
      <c r="I35" s="478">
        <v>3220.97</v>
      </c>
      <c r="J35" s="478">
        <v>568.42</v>
      </c>
      <c r="K35" s="479">
        <v>568.41</v>
      </c>
      <c r="L35" s="1318"/>
      <c r="M35" s="1257"/>
      <c r="N35" s="1288"/>
      <c r="O35" s="1292"/>
      <c r="P35" s="1292"/>
      <c r="Q35" s="469"/>
      <c r="R35" s="470"/>
      <c r="S35" s="1257"/>
      <c r="T35" s="590"/>
      <c r="U35" s="363"/>
    </row>
    <row r="36" spans="1:21" s="93" customFormat="1" ht="13.5" thickBot="1">
      <c r="A36" s="1128"/>
      <c r="B36" s="1128"/>
      <c r="C36" s="676"/>
      <c r="D36" s="676"/>
      <c r="E36" s="1146"/>
      <c r="F36" s="1147"/>
      <c r="G36" s="502"/>
      <c r="H36" s="474">
        <v>27755.25</v>
      </c>
      <c r="I36" s="475">
        <v>27755.25</v>
      </c>
      <c r="J36" s="475">
        <v>4898</v>
      </c>
      <c r="K36" s="476">
        <v>4897.99</v>
      </c>
      <c r="L36" s="1157"/>
      <c r="M36" s="1157"/>
      <c r="N36" s="1132"/>
      <c r="O36" s="1157"/>
      <c r="P36" s="1157"/>
      <c r="Q36" s="469"/>
      <c r="R36" s="470"/>
      <c r="S36" s="1157"/>
      <c r="T36" s="590"/>
      <c r="U36" s="363"/>
    </row>
    <row r="37" spans="1:21" s="93" customFormat="1" ht="12.75">
      <c r="A37" s="1429" t="s">
        <v>175</v>
      </c>
      <c r="B37" s="1380" t="s">
        <v>176</v>
      </c>
      <c r="C37" s="466">
        <f>242471*2</f>
        <v>484942</v>
      </c>
      <c r="D37" s="453">
        <f>42789*2</f>
        <v>85578</v>
      </c>
      <c r="E37" s="466">
        <v>484942</v>
      </c>
      <c r="F37" s="453">
        <v>85578</v>
      </c>
      <c r="G37" s="454">
        <v>570520</v>
      </c>
      <c r="H37" s="466">
        <v>85000</v>
      </c>
      <c r="I37" s="472">
        <v>85000</v>
      </c>
      <c r="J37" s="472">
        <v>15000</v>
      </c>
      <c r="K37" s="453">
        <v>15000</v>
      </c>
      <c r="L37" s="1260">
        <f>SUM(H37:K38)</f>
        <v>304163.59</v>
      </c>
      <c r="M37" s="1256">
        <f>L37/E38*100</f>
        <v>53.31339655051532</v>
      </c>
      <c r="N37" s="1287">
        <v>64563</v>
      </c>
      <c r="O37" s="1290">
        <f>N37/E37*100</f>
        <v>13.31355089887038</v>
      </c>
      <c r="P37" s="1290">
        <v>64563</v>
      </c>
      <c r="Q37" s="1310">
        <f>P37/E37*100</f>
        <v>13.31355089887038</v>
      </c>
      <c r="R37" s="489">
        <f>E37+F37</f>
        <v>570520</v>
      </c>
      <c r="S37" s="1308">
        <f>P37/E37*100</f>
        <v>13.31355089887038</v>
      </c>
      <c r="T37" s="590"/>
      <c r="U37" s="363"/>
    </row>
    <row r="38" spans="1:21" s="93" customFormat="1" ht="13.5" thickBot="1">
      <c r="A38" s="1430"/>
      <c r="B38" s="1381"/>
      <c r="C38" s="1326">
        <f>C37+D37</f>
        <v>570520</v>
      </c>
      <c r="D38" s="1327"/>
      <c r="E38" s="1326">
        <v>570520</v>
      </c>
      <c r="F38" s="1327"/>
      <c r="G38" s="460">
        <v>570520</v>
      </c>
      <c r="H38" s="480">
        <v>44269.52</v>
      </c>
      <c r="I38" s="481">
        <v>44269.52</v>
      </c>
      <c r="J38" s="481">
        <v>7812.28</v>
      </c>
      <c r="K38" s="482">
        <v>7812.27</v>
      </c>
      <c r="L38" s="1314"/>
      <c r="M38" s="1286"/>
      <c r="N38" s="1476"/>
      <c r="O38" s="1293"/>
      <c r="P38" s="1314"/>
      <c r="Q38" s="1311"/>
      <c r="R38" s="490">
        <f>E38</f>
        <v>570520</v>
      </c>
      <c r="S38" s="1309"/>
      <c r="T38" s="590"/>
      <c r="U38" s="363"/>
    </row>
    <row r="39" spans="1:21" s="93" customFormat="1" ht="13.5" thickBot="1">
      <c r="A39" s="1427" t="s">
        <v>23</v>
      </c>
      <c r="B39" s="1427" t="s">
        <v>206</v>
      </c>
      <c r="C39" s="466">
        <f>418644*2</f>
        <v>837288</v>
      </c>
      <c r="D39" s="486">
        <f>73878.5*2</f>
        <v>147757</v>
      </c>
      <c r="E39" s="452">
        <v>837288</v>
      </c>
      <c r="F39" s="453">
        <v>147757</v>
      </c>
      <c r="G39" s="454">
        <v>985045</v>
      </c>
      <c r="H39" s="466">
        <v>892.88</v>
      </c>
      <c r="I39" s="472">
        <v>892.88</v>
      </c>
      <c r="J39" s="472">
        <v>157.57</v>
      </c>
      <c r="K39" s="453">
        <v>157.57</v>
      </c>
      <c r="L39" s="1260">
        <f>SUM(H39:K49)</f>
        <v>935754.7799999998</v>
      </c>
      <c r="M39" s="1256">
        <f>L39/E40*100</f>
        <v>94.99614535376554</v>
      </c>
      <c r="N39" s="1287">
        <f>139160</f>
        <v>139160</v>
      </c>
      <c r="O39" s="1290">
        <f>N39/E39*100</f>
        <v>16.62032657819054</v>
      </c>
      <c r="P39" s="1290">
        <f>133528+2816*2</f>
        <v>139160</v>
      </c>
      <c r="Q39" s="469"/>
      <c r="R39" s="470">
        <f>E39+F39</f>
        <v>985045</v>
      </c>
      <c r="S39" s="1256">
        <f>P39/E39*100</f>
        <v>16.62032657819054</v>
      </c>
      <c r="T39" s="590"/>
      <c r="U39" s="363"/>
    </row>
    <row r="40" spans="1:21" s="93" customFormat="1" ht="22.5" customHeight="1">
      <c r="A40" s="1428"/>
      <c r="B40" s="1428"/>
      <c r="C40" s="1331">
        <f>C39+D39</f>
        <v>985045</v>
      </c>
      <c r="D40" s="1332"/>
      <c r="E40" s="1328">
        <v>985045</v>
      </c>
      <c r="F40" s="1328"/>
      <c r="G40" s="1319">
        <v>985045</v>
      </c>
      <c r="H40" s="477">
        <v>503.2</v>
      </c>
      <c r="I40" s="478">
        <v>503.2</v>
      </c>
      <c r="J40" s="478">
        <v>88.8</v>
      </c>
      <c r="K40" s="479">
        <v>88.8</v>
      </c>
      <c r="L40" s="1318"/>
      <c r="M40" s="1257"/>
      <c r="N40" s="1288"/>
      <c r="O40" s="1292"/>
      <c r="P40" s="1292"/>
      <c r="Q40" s="469"/>
      <c r="R40" s="470"/>
      <c r="S40" s="1257"/>
      <c r="T40" s="1359">
        <f>(E37-N37)/E37*100/9</f>
        <v>9.63182767790329</v>
      </c>
      <c r="U40" s="363"/>
    </row>
    <row r="41" spans="1:21" s="93" customFormat="1" ht="21.75" customHeight="1" thickBot="1">
      <c r="A41" s="1428"/>
      <c r="B41" s="1428"/>
      <c r="C41" s="1333"/>
      <c r="D41" s="1334"/>
      <c r="E41" s="1329"/>
      <c r="F41" s="1329"/>
      <c r="G41" s="1320"/>
      <c r="H41" s="477">
        <v>16045.2</v>
      </c>
      <c r="I41" s="478">
        <v>16045.2</v>
      </c>
      <c r="J41" s="478">
        <v>2831.52</v>
      </c>
      <c r="K41" s="479">
        <v>2831.51</v>
      </c>
      <c r="L41" s="1318"/>
      <c r="M41" s="1257"/>
      <c r="N41" s="1288"/>
      <c r="O41" s="1292"/>
      <c r="P41" s="1292"/>
      <c r="Q41" s="469"/>
      <c r="R41" s="470">
        <f>E40</f>
        <v>985045</v>
      </c>
      <c r="S41" s="1257"/>
      <c r="T41" s="1362"/>
      <c r="U41" s="363"/>
    </row>
    <row r="42" spans="1:21" s="93" customFormat="1" ht="15.75" customHeight="1" thickBot="1">
      <c r="A42" s="1428"/>
      <c r="B42" s="1428"/>
      <c r="C42" s="1335"/>
      <c r="D42" s="1336"/>
      <c r="E42" s="1329"/>
      <c r="F42" s="1329"/>
      <c r="G42" s="473"/>
      <c r="H42" s="477">
        <v>3332.11</v>
      </c>
      <c r="I42" s="478">
        <v>3332.11</v>
      </c>
      <c r="J42" s="478">
        <v>588.02</v>
      </c>
      <c r="K42" s="479">
        <v>588.02</v>
      </c>
      <c r="L42" s="1318"/>
      <c r="M42" s="1257"/>
      <c r="N42" s="1288"/>
      <c r="O42" s="1292"/>
      <c r="P42" s="1292"/>
      <c r="Q42" s="487"/>
      <c r="R42" s="470"/>
      <c r="S42" s="1257"/>
      <c r="T42" s="1359">
        <f>(E39-N39)/E39*100/9</f>
        <v>9.264408157978828</v>
      </c>
      <c r="U42" s="363"/>
    </row>
    <row r="43" spans="1:21" s="93" customFormat="1" ht="12.75">
      <c r="A43" s="1428"/>
      <c r="B43" s="1428"/>
      <c r="C43" s="529"/>
      <c r="D43" s="530"/>
      <c r="E43" s="1329"/>
      <c r="F43" s="1329"/>
      <c r="G43" s="473"/>
      <c r="H43" s="477">
        <v>37601.75</v>
      </c>
      <c r="I43" s="478">
        <v>37601.75</v>
      </c>
      <c r="J43" s="478">
        <v>6635.6</v>
      </c>
      <c r="K43" s="479">
        <v>6635.6</v>
      </c>
      <c r="L43" s="1318"/>
      <c r="M43" s="1257"/>
      <c r="N43" s="1288"/>
      <c r="O43" s="1292"/>
      <c r="P43" s="1292"/>
      <c r="Q43" s="487"/>
      <c r="R43" s="470"/>
      <c r="S43" s="1257"/>
      <c r="T43" s="1360"/>
      <c r="U43" s="363"/>
    </row>
    <row r="44" spans="1:21" s="93" customFormat="1" ht="12.75">
      <c r="A44" s="1428"/>
      <c r="B44" s="1428"/>
      <c r="C44" s="529"/>
      <c r="D44" s="676"/>
      <c r="E44" s="1329"/>
      <c r="F44" s="1329"/>
      <c r="G44" s="473"/>
      <c r="H44" s="477">
        <v>4486.74</v>
      </c>
      <c r="I44" s="478">
        <v>4486.74</v>
      </c>
      <c r="J44" s="478">
        <v>791.79</v>
      </c>
      <c r="K44" s="479">
        <v>791.78</v>
      </c>
      <c r="L44" s="1318"/>
      <c r="M44" s="1257"/>
      <c r="N44" s="1288"/>
      <c r="O44" s="1292"/>
      <c r="P44" s="1292"/>
      <c r="Q44" s="487"/>
      <c r="R44" s="470"/>
      <c r="S44" s="1257"/>
      <c r="T44" s="1360"/>
      <c r="U44" s="363"/>
    </row>
    <row r="45" spans="1:21" s="93" customFormat="1" ht="13.5" thickBot="1">
      <c r="A45" s="1428"/>
      <c r="B45" s="1428"/>
      <c r="C45" s="529"/>
      <c r="D45" s="676"/>
      <c r="E45" s="1329"/>
      <c r="F45" s="1329"/>
      <c r="G45" s="473"/>
      <c r="H45" s="477">
        <v>17976.69</v>
      </c>
      <c r="I45" s="478">
        <v>17976.69</v>
      </c>
      <c r="J45" s="478">
        <v>3172.37</v>
      </c>
      <c r="K45" s="479">
        <v>3172.36</v>
      </c>
      <c r="L45" s="1318"/>
      <c r="M45" s="1257"/>
      <c r="N45" s="1288"/>
      <c r="O45" s="1292"/>
      <c r="P45" s="1292"/>
      <c r="Q45" s="487"/>
      <c r="R45" s="470"/>
      <c r="S45" s="1257"/>
      <c r="T45" s="1362"/>
      <c r="U45" s="363"/>
    </row>
    <row r="46" spans="1:21" s="93" customFormat="1" ht="12.75">
      <c r="A46" s="1428"/>
      <c r="B46" s="1428"/>
      <c r="C46" s="529"/>
      <c r="D46" s="676"/>
      <c r="E46" s="1329"/>
      <c r="F46" s="1329"/>
      <c r="G46" s="473"/>
      <c r="H46" s="477">
        <v>3900.62</v>
      </c>
      <c r="I46" s="478">
        <v>3900.62</v>
      </c>
      <c r="J46" s="478">
        <v>688.35</v>
      </c>
      <c r="K46" s="479">
        <v>688.35</v>
      </c>
      <c r="L46" s="1318"/>
      <c r="M46" s="1257"/>
      <c r="N46" s="1288"/>
      <c r="O46" s="1292"/>
      <c r="P46" s="1292"/>
      <c r="Q46" s="487"/>
      <c r="R46" s="470"/>
      <c r="S46" s="1257"/>
      <c r="T46" s="590"/>
      <c r="U46" s="363"/>
    </row>
    <row r="47" spans="1:21" s="93" customFormat="1" ht="12.75">
      <c r="A47" s="1428"/>
      <c r="B47" s="1428"/>
      <c r="C47" s="529"/>
      <c r="D47" s="676"/>
      <c r="E47" s="1329"/>
      <c r="F47" s="1329"/>
      <c r="G47" s="473"/>
      <c r="H47" s="477">
        <v>115275.23</v>
      </c>
      <c r="I47" s="478">
        <v>115275.23</v>
      </c>
      <c r="J47" s="478">
        <v>20342.69</v>
      </c>
      <c r="K47" s="479">
        <v>20342.69</v>
      </c>
      <c r="L47" s="1318"/>
      <c r="M47" s="1257"/>
      <c r="N47" s="1288"/>
      <c r="O47" s="1292"/>
      <c r="P47" s="1292"/>
      <c r="Q47" s="487"/>
      <c r="R47" s="470"/>
      <c r="S47" s="1257"/>
      <c r="T47" s="590"/>
      <c r="U47" s="363"/>
    </row>
    <row r="48" spans="1:21" s="93" customFormat="1" ht="12.75">
      <c r="A48" s="1428"/>
      <c r="B48" s="1428"/>
      <c r="C48" s="529"/>
      <c r="D48" s="676"/>
      <c r="E48" s="1329"/>
      <c r="F48" s="1329"/>
      <c r="G48" s="473"/>
      <c r="H48" s="477">
        <v>2816.15</v>
      </c>
      <c r="I48" s="478">
        <v>2816.15</v>
      </c>
      <c r="J48" s="478">
        <v>496.97</v>
      </c>
      <c r="K48" s="479">
        <v>496.97</v>
      </c>
      <c r="L48" s="1318"/>
      <c r="M48" s="1257"/>
      <c r="N48" s="1288"/>
      <c r="O48" s="1292"/>
      <c r="P48" s="1292"/>
      <c r="Q48" s="487"/>
      <c r="R48" s="470"/>
      <c r="S48" s="1257"/>
      <c r="T48" s="590"/>
      <c r="U48" s="363"/>
    </row>
    <row r="49" spans="1:21" s="93" customFormat="1" ht="13.5" thickBot="1">
      <c r="A49" s="1434"/>
      <c r="B49" s="1434"/>
      <c r="C49" s="529"/>
      <c r="D49" s="676"/>
      <c r="E49" s="1330"/>
      <c r="F49" s="1330"/>
      <c r="G49" s="473"/>
      <c r="H49" s="474">
        <v>194865.18</v>
      </c>
      <c r="I49" s="475">
        <v>194865.18</v>
      </c>
      <c r="J49" s="475">
        <v>34387.98</v>
      </c>
      <c r="K49" s="476">
        <v>34387.97</v>
      </c>
      <c r="L49" s="1261"/>
      <c r="M49" s="1286"/>
      <c r="N49" s="1289"/>
      <c r="O49" s="1293"/>
      <c r="P49" s="1293"/>
      <c r="Q49" s="487"/>
      <c r="R49" s="470"/>
      <c r="S49" s="1286"/>
      <c r="T49" s="590"/>
      <c r="U49" s="363"/>
    </row>
    <row r="50" spans="1:21" s="93" customFormat="1" ht="12.75">
      <c r="A50" s="1427" t="s">
        <v>61</v>
      </c>
      <c r="B50" s="1427" t="s">
        <v>196</v>
      </c>
      <c r="C50" s="452">
        <f>303761+303760</f>
        <v>607521</v>
      </c>
      <c r="D50" s="453">
        <f>53604.5*2</f>
        <v>107209</v>
      </c>
      <c r="E50" s="466">
        <v>607521</v>
      </c>
      <c r="F50" s="453">
        <v>107209</v>
      </c>
      <c r="G50" s="454">
        <v>714730</v>
      </c>
      <c r="H50" s="466">
        <v>218.55</v>
      </c>
      <c r="I50" s="472">
        <v>218.55</v>
      </c>
      <c r="J50" s="472">
        <v>38.58</v>
      </c>
      <c r="K50" s="453">
        <v>38.57</v>
      </c>
      <c r="L50" s="1260">
        <f>SUM(H50:K65)</f>
        <v>541954.5299999999</v>
      </c>
      <c r="M50" s="1256">
        <f>L50/E51*100</f>
        <v>75.82647013557566</v>
      </c>
      <c r="N50" s="1287">
        <f>78548+15040*2</f>
        <v>108628</v>
      </c>
      <c r="O50" s="1290">
        <f>N50/E50*100</f>
        <v>17.880534170835247</v>
      </c>
      <c r="P50" s="1290">
        <f>65086+6731*2+15040*2</f>
        <v>108628</v>
      </c>
      <c r="Q50" s="1310">
        <f>P50/E50*100</f>
        <v>17.880534170835247</v>
      </c>
      <c r="R50" s="489">
        <f>E50+F50</f>
        <v>714730</v>
      </c>
      <c r="S50" s="1256">
        <f>P50/E50*100</f>
        <v>17.880534170835247</v>
      </c>
      <c r="T50" s="590"/>
      <c r="U50" s="363"/>
    </row>
    <row r="51" spans="1:21" s="93" customFormat="1" ht="13.5" thickBot="1">
      <c r="A51" s="1428"/>
      <c r="B51" s="1428"/>
      <c r="C51" s="1331">
        <f>C50+D50</f>
        <v>714730</v>
      </c>
      <c r="D51" s="1332"/>
      <c r="E51" s="1321">
        <v>714730</v>
      </c>
      <c r="F51" s="1322"/>
      <c r="G51" s="1315">
        <v>714730</v>
      </c>
      <c r="H51" s="477">
        <v>1062.07</v>
      </c>
      <c r="I51" s="478">
        <v>1062.07</v>
      </c>
      <c r="J51" s="478">
        <v>187.43</v>
      </c>
      <c r="K51" s="479">
        <v>187.43</v>
      </c>
      <c r="L51" s="1318"/>
      <c r="M51" s="1257"/>
      <c r="N51" s="1288"/>
      <c r="O51" s="1292"/>
      <c r="P51" s="1292"/>
      <c r="Q51" s="1311"/>
      <c r="R51" s="586"/>
      <c r="S51" s="1257"/>
      <c r="T51" s="590"/>
      <c r="U51" s="363"/>
    </row>
    <row r="52" spans="1:21" s="93" customFormat="1" ht="12.75">
      <c r="A52" s="1428"/>
      <c r="B52" s="1428"/>
      <c r="C52" s="1333"/>
      <c r="D52" s="1334"/>
      <c r="E52" s="1323"/>
      <c r="F52" s="1324"/>
      <c r="G52" s="1316"/>
      <c r="H52" s="477">
        <v>29.63</v>
      </c>
      <c r="I52" s="478">
        <v>29.63</v>
      </c>
      <c r="J52" s="478">
        <v>5.24</v>
      </c>
      <c r="K52" s="479">
        <v>5.23</v>
      </c>
      <c r="L52" s="1318"/>
      <c r="M52" s="1257"/>
      <c r="N52" s="1288"/>
      <c r="O52" s="1292"/>
      <c r="P52" s="1292"/>
      <c r="Q52" s="469"/>
      <c r="R52" s="586"/>
      <c r="S52" s="1257"/>
      <c r="T52" s="590"/>
      <c r="U52" s="363"/>
    </row>
    <row r="53" spans="1:21" s="93" customFormat="1" ht="12.75" customHeight="1">
      <c r="A53" s="1428"/>
      <c r="B53" s="1428"/>
      <c r="C53" s="1333"/>
      <c r="D53" s="1334"/>
      <c r="E53" s="1323"/>
      <c r="F53" s="1324"/>
      <c r="G53" s="1316"/>
      <c r="H53" s="477">
        <v>4282.96</v>
      </c>
      <c r="I53" s="478">
        <v>4282.96</v>
      </c>
      <c r="J53" s="478">
        <v>755.82</v>
      </c>
      <c r="K53" s="479">
        <v>755.82</v>
      </c>
      <c r="L53" s="1318"/>
      <c r="M53" s="1257"/>
      <c r="N53" s="1288"/>
      <c r="O53" s="1292"/>
      <c r="P53" s="1292"/>
      <c r="Q53" s="469"/>
      <c r="R53" s="586"/>
      <c r="S53" s="1257"/>
      <c r="T53" s="1357">
        <f>(E50-N50)/E50*100/9</f>
        <v>9.124385092129417</v>
      </c>
      <c r="U53" s="363"/>
    </row>
    <row r="54" spans="1:21" s="93" customFormat="1" ht="12.75">
      <c r="A54" s="1428"/>
      <c r="B54" s="1428"/>
      <c r="C54" s="1333"/>
      <c r="D54" s="1334"/>
      <c r="E54" s="1323"/>
      <c r="F54" s="1324"/>
      <c r="G54" s="1316"/>
      <c r="H54" s="477">
        <v>10991.88</v>
      </c>
      <c r="I54" s="478">
        <v>10991.88</v>
      </c>
      <c r="J54" s="478">
        <v>1939.74</v>
      </c>
      <c r="K54" s="479">
        <v>1939.74</v>
      </c>
      <c r="L54" s="1318"/>
      <c r="M54" s="1257"/>
      <c r="N54" s="1288"/>
      <c r="O54" s="1292"/>
      <c r="P54" s="1292"/>
      <c r="Q54" s="469"/>
      <c r="R54" s="586"/>
      <c r="S54" s="1257"/>
      <c r="T54" s="1370"/>
      <c r="U54" s="363"/>
    </row>
    <row r="55" spans="1:21" s="93" customFormat="1" ht="13.5" thickBot="1">
      <c r="A55" s="1428"/>
      <c r="B55" s="1428"/>
      <c r="C55" s="1333"/>
      <c r="D55" s="1334"/>
      <c r="E55" s="1323"/>
      <c r="F55" s="1324"/>
      <c r="G55" s="1317"/>
      <c r="H55" s="477">
        <v>95.61</v>
      </c>
      <c r="I55" s="478">
        <v>95.61</v>
      </c>
      <c r="J55" s="478">
        <v>16.87</v>
      </c>
      <c r="K55" s="479">
        <v>16.87</v>
      </c>
      <c r="L55" s="1318"/>
      <c r="M55" s="1257"/>
      <c r="N55" s="1288"/>
      <c r="O55" s="1292"/>
      <c r="P55" s="1292"/>
      <c r="Q55" s="469"/>
      <c r="R55" s="586">
        <f>E51</f>
        <v>714730</v>
      </c>
      <c r="S55" s="1257"/>
      <c r="T55" s="1370"/>
      <c r="U55" s="363"/>
    </row>
    <row r="56" spans="1:21" s="93" customFormat="1" ht="12.75">
      <c r="A56" s="1428"/>
      <c r="B56" s="1428"/>
      <c r="C56" s="1333"/>
      <c r="D56" s="1334"/>
      <c r="E56" s="1323"/>
      <c r="F56" s="1324"/>
      <c r="G56" s="502"/>
      <c r="H56" s="477">
        <v>8511.81</v>
      </c>
      <c r="I56" s="478">
        <v>8511.81</v>
      </c>
      <c r="J56" s="478">
        <v>1502.1</v>
      </c>
      <c r="K56" s="479">
        <v>1502.09</v>
      </c>
      <c r="L56" s="1318"/>
      <c r="M56" s="1257"/>
      <c r="N56" s="1288"/>
      <c r="O56" s="1292"/>
      <c r="P56" s="1292"/>
      <c r="Q56" s="469"/>
      <c r="R56" s="586"/>
      <c r="S56" s="1257"/>
      <c r="T56" s="1370"/>
      <c r="U56" s="363"/>
    </row>
    <row r="57" spans="1:21" s="93" customFormat="1" ht="13.5" thickBot="1">
      <c r="A57" s="1428"/>
      <c r="B57" s="1428"/>
      <c r="C57" s="1335"/>
      <c r="D57" s="1336"/>
      <c r="E57" s="1323"/>
      <c r="F57" s="1324"/>
      <c r="G57" s="502"/>
      <c r="H57" s="477">
        <v>996.49</v>
      </c>
      <c r="I57" s="478">
        <v>996.49</v>
      </c>
      <c r="J57" s="478">
        <v>175.86</v>
      </c>
      <c r="K57" s="479">
        <v>175.85</v>
      </c>
      <c r="L57" s="1318"/>
      <c r="M57" s="1257"/>
      <c r="N57" s="1288"/>
      <c r="O57" s="1292"/>
      <c r="P57" s="1292"/>
      <c r="Q57" s="469"/>
      <c r="R57" s="586"/>
      <c r="S57" s="1257"/>
      <c r="T57" s="1370"/>
      <c r="U57" s="363"/>
    </row>
    <row r="58" spans="1:21" s="93" customFormat="1" ht="13.5" thickBot="1">
      <c r="A58" s="1428"/>
      <c r="B58" s="1428"/>
      <c r="C58" s="687"/>
      <c r="D58" s="688"/>
      <c r="E58" s="1323"/>
      <c r="F58" s="1324"/>
      <c r="G58" s="503"/>
      <c r="H58" s="477">
        <v>3.06</v>
      </c>
      <c r="I58" s="478">
        <v>3.06</v>
      </c>
      <c r="J58" s="478">
        <v>0.54</v>
      </c>
      <c r="K58" s="479">
        <v>0.54</v>
      </c>
      <c r="L58" s="1318"/>
      <c r="M58" s="1257"/>
      <c r="N58" s="1288"/>
      <c r="O58" s="1292"/>
      <c r="P58" s="1292"/>
      <c r="Q58" s="488"/>
      <c r="R58" s="490"/>
      <c r="S58" s="1257"/>
      <c r="T58" s="1370"/>
      <c r="U58" s="363"/>
    </row>
    <row r="59" spans="1:21" s="93" customFormat="1" ht="13.5" thickBot="1">
      <c r="A59" s="1428"/>
      <c r="B59" s="1428"/>
      <c r="C59" s="687"/>
      <c r="D59" s="688"/>
      <c r="E59" s="1323"/>
      <c r="F59" s="1324"/>
      <c r="G59" s="503"/>
      <c r="H59" s="477">
        <v>6352.96</v>
      </c>
      <c r="I59" s="478">
        <v>6352.96</v>
      </c>
      <c r="J59" s="478">
        <v>1121.11</v>
      </c>
      <c r="K59" s="479">
        <v>1121.11</v>
      </c>
      <c r="L59" s="1318"/>
      <c r="M59" s="1257"/>
      <c r="N59" s="1288"/>
      <c r="O59" s="1292"/>
      <c r="P59" s="1292"/>
      <c r="Q59" s="488"/>
      <c r="R59" s="490"/>
      <c r="S59" s="1257"/>
      <c r="T59" s="1370"/>
      <c r="U59" s="363"/>
    </row>
    <row r="60" spans="1:21" s="93" customFormat="1" ht="13.5" thickBot="1">
      <c r="A60" s="1428"/>
      <c r="B60" s="1428"/>
      <c r="C60" s="687"/>
      <c r="D60" s="688"/>
      <c r="E60" s="1323"/>
      <c r="F60" s="1324"/>
      <c r="G60" s="502"/>
      <c r="H60" s="477">
        <v>4589.41</v>
      </c>
      <c r="I60" s="478">
        <v>4589.41</v>
      </c>
      <c r="J60" s="478">
        <v>809.91</v>
      </c>
      <c r="K60" s="479">
        <v>809.9</v>
      </c>
      <c r="L60" s="1318"/>
      <c r="M60" s="1257"/>
      <c r="N60" s="1288"/>
      <c r="O60" s="1292"/>
      <c r="P60" s="1292"/>
      <c r="Q60" s="488"/>
      <c r="R60" s="490"/>
      <c r="S60" s="1257"/>
      <c r="T60" s="1358"/>
      <c r="U60" s="363"/>
    </row>
    <row r="61" spans="1:21" s="93" customFormat="1" ht="12.75">
      <c r="A61" s="1428"/>
      <c r="B61" s="1428"/>
      <c r="C61" s="676"/>
      <c r="D61" s="676"/>
      <c r="E61" s="1323"/>
      <c r="F61" s="1324"/>
      <c r="G61" s="502"/>
      <c r="H61" s="477">
        <v>6727.34</v>
      </c>
      <c r="I61" s="478">
        <v>6727.34</v>
      </c>
      <c r="J61" s="478">
        <v>1187.19</v>
      </c>
      <c r="K61" s="479">
        <v>1187.18</v>
      </c>
      <c r="L61" s="1318"/>
      <c r="M61" s="1257"/>
      <c r="N61" s="1288"/>
      <c r="O61" s="1292"/>
      <c r="P61" s="1292"/>
      <c r="Q61" s="469"/>
      <c r="R61" s="586"/>
      <c r="S61" s="1257"/>
      <c r="T61" s="590"/>
      <c r="U61" s="363"/>
    </row>
    <row r="62" spans="1:21" s="93" customFormat="1" ht="12.75">
      <c r="A62" s="1428"/>
      <c r="B62" s="1428"/>
      <c r="C62" s="676"/>
      <c r="D62" s="676"/>
      <c r="E62" s="1323"/>
      <c r="F62" s="1324"/>
      <c r="G62" s="502"/>
      <c r="H62" s="477">
        <v>1690.73</v>
      </c>
      <c r="I62" s="478">
        <v>1690.73</v>
      </c>
      <c r="J62" s="478">
        <v>298.36</v>
      </c>
      <c r="K62" s="479">
        <v>298.36</v>
      </c>
      <c r="L62" s="1318"/>
      <c r="M62" s="1257"/>
      <c r="N62" s="1288"/>
      <c r="O62" s="1292"/>
      <c r="P62" s="1292"/>
      <c r="Q62" s="469"/>
      <c r="R62" s="586"/>
      <c r="S62" s="1257"/>
      <c r="T62" s="590"/>
      <c r="U62" s="363"/>
    </row>
    <row r="63" spans="1:21" s="93" customFormat="1" ht="12.75">
      <c r="A63" s="1428"/>
      <c r="B63" s="1428"/>
      <c r="C63" s="676"/>
      <c r="D63" s="676"/>
      <c r="E63" s="1323"/>
      <c r="F63" s="1324"/>
      <c r="G63" s="502"/>
      <c r="H63" s="477">
        <v>173213</v>
      </c>
      <c r="I63" s="478">
        <v>173213</v>
      </c>
      <c r="J63" s="478">
        <v>30567</v>
      </c>
      <c r="K63" s="479">
        <v>30567</v>
      </c>
      <c r="L63" s="1318"/>
      <c r="M63" s="1257"/>
      <c r="N63" s="1288"/>
      <c r="O63" s="1292"/>
      <c r="P63" s="1292"/>
      <c r="Q63" s="469"/>
      <c r="R63" s="586"/>
      <c r="S63" s="1257"/>
      <c r="T63" s="590"/>
      <c r="U63" s="363"/>
    </row>
    <row r="64" spans="1:21" s="93" customFormat="1" ht="12.75">
      <c r="A64" s="1067"/>
      <c r="B64" s="1067"/>
      <c r="C64" s="676"/>
      <c r="D64" s="676"/>
      <c r="E64" s="1144"/>
      <c r="F64" s="1145"/>
      <c r="G64" s="502"/>
      <c r="H64" s="477">
        <v>1114.77</v>
      </c>
      <c r="I64" s="478">
        <v>1114.77</v>
      </c>
      <c r="J64" s="478">
        <v>196.73</v>
      </c>
      <c r="K64" s="479">
        <v>196.73</v>
      </c>
      <c r="L64" s="1127"/>
      <c r="M64" s="1127"/>
      <c r="N64" s="1156"/>
      <c r="O64" s="1127"/>
      <c r="P64" s="1127"/>
      <c r="Q64" s="469"/>
      <c r="R64" s="586"/>
      <c r="S64" s="1127"/>
      <c r="T64" s="590"/>
      <c r="U64" s="363"/>
    </row>
    <row r="65" spans="1:21" s="93" customFormat="1" ht="13.5" thickBot="1">
      <c r="A65" s="1128"/>
      <c r="B65" s="1128"/>
      <c r="C65" s="676"/>
      <c r="D65" s="676"/>
      <c r="E65" s="1146"/>
      <c r="F65" s="1147"/>
      <c r="G65" s="502"/>
      <c r="H65" s="474">
        <v>10450.36</v>
      </c>
      <c r="I65" s="475">
        <v>10450.36</v>
      </c>
      <c r="J65" s="475">
        <v>1844.19</v>
      </c>
      <c r="K65" s="476">
        <v>1844.18</v>
      </c>
      <c r="L65" s="1157"/>
      <c r="M65" s="1157"/>
      <c r="N65" s="1132"/>
      <c r="O65" s="1157"/>
      <c r="P65" s="1157"/>
      <c r="Q65" s="469"/>
      <c r="R65" s="586"/>
      <c r="S65" s="1157"/>
      <c r="T65" s="590"/>
      <c r="U65" s="363"/>
    </row>
    <row r="66" spans="1:21" s="93" customFormat="1" ht="12.75">
      <c r="A66" s="1427" t="s">
        <v>172</v>
      </c>
      <c r="B66" s="1427" t="s">
        <v>167</v>
      </c>
      <c r="C66" s="466">
        <f>(126438+126437)</f>
        <v>252875</v>
      </c>
      <c r="D66" s="453">
        <f>(22312.5+22312.5)</f>
        <v>44625</v>
      </c>
      <c r="E66" s="452">
        <v>252875</v>
      </c>
      <c r="F66" s="453">
        <v>44625</v>
      </c>
      <c r="G66" s="454">
        <v>297500</v>
      </c>
      <c r="H66" s="466">
        <v>30715.6</v>
      </c>
      <c r="I66" s="472">
        <v>30715.6</v>
      </c>
      <c r="J66" s="472">
        <v>5420.4</v>
      </c>
      <c r="K66" s="453">
        <v>5420.4</v>
      </c>
      <c r="L66" s="1260">
        <f>SUM(H66:K71)</f>
        <v>263880.4000000001</v>
      </c>
      <c r="M66" s="1256">
        <f>L66/E67*100</f>
        <v>88.69929411764709</v>
      </c>
      <c r="N66" s="1287">
        <f>7537+5785+7649*2+16653+16654</f>
        <v>61927</v>
      </c>
      <c r="O66" s="1290">
        <f>N66/E66*100</f>
        <v>24.489174493326743</v>
      </c>
      <c r="P66" s="1290">
        <f>7537+2893+2892+7649*2+16653+16654</f>
        <v>61927</v>
      </c>
      <c r="Q66" s="1310">
        <f>P66/E66*100</f>
        <v>24.489174493326743</v>
      </c>
      <c r="R66" s="489">
        <f>E66+F66</f>
        <v>297500</v>
      </c>
      <c r="S66" s="1256">
        <f>P66/E66*100</f>
        <v>24.489174493326743</v>
      </c>
      <c r="T66" s="590"/>
      <c r="U66" s="363"/>
    </row>
    <row r="67" spans="1:21" s="93" customFormat="1" ht="13.5" thickBot="1">
      <c r="A67" s="1428"/>
      <c r="B67" s="1428"/>
      <c r="C67" s="1326">
        <f>C66+D66</f>
        <v>297500</v>
      </c>
      <c r="D67" s="1327"/>
      <c r="E67" s="1321">
        <v>297500</v>
      </c>
      <c r="F67" s="1322"/>
      <c r="G67" s="460">
        <v>297500</v>
      </c>
      <c r="H67" s="477">
        <v>19126.43</v>
      </c>
      <c r="I67" s="478">
        <v>19126.43</v>
      </c>
      <c r="J67" s="478">
        <v>3375.25</v>
      </c>
      <c r="K67" s="479">
        <v>3375.25</v>
      </c>
      <c r="L67" s="1291"/>
      <c r="M67" s="1257"/>
      <c r="N67" s="1325"/>
      <c r="O67" s="1292"/>
      <c r="P67" s="1291"/>
      <c r="Q67" s="1311"/>
      <c r="R67" s="490">
        <f>E67</f>
        <v>297500</v>
      </c>
      <c r="S67" s="1257"/>
      <c r="T67" s="590"/>
      <c r="U67" s="363"/>
    </row>
    <row r="68" spans="1:21" s="93" customFormat="1" ht="13.5" thickBot="1">
      <c r="A68" s="1067"/>
      <c r="B68" s="1067"/>
      <c r="C68" s="687"/>
      <c r="D68" s="688"/>
      <c r="E68" s="1144"/>
      <c r="F68" s="1145"/>
      <c r="G68" s="473"/>
      <c r="H68" s="477">
        <v>7077.01</v>
      </c>
      <c r="I68" s="478">
        <v>7077.01</v>
      </c>
      <c r="J68" s="478">
        <v>1248.89</v>
      </c>
      <c r="K68" s="479">
        <v>1248.88</v>
      </c>
      <c r="L68" s="1127"/>
      <c r="M68" s="1127"/>
      <c r="N68" s="1156"/>
      <c r="O68" s="1127"/>
      <c r="P68" s="1127"/>
      <c r="Q68" s="488"/>
      <c r="R68" s="490"/>
      <c r="S68" s="1127"/>
      <c r="T68" s="590"/>
      <c r="U68" s="363"/>
    </row>
    <row r="69" spans="1:21" s="93" customFormat="1" ht="24.75" customHeight="1">
      <c r="A69" s="1067"/>
      <c r="B69" s="1067"/>
      <c r="C69" s="529"/>
      <c r="D69" s="530"/>
      <c r="E69" s="1144"/>
      <c r="F69" s="1145"/>
      <c r="G69" s="473"/>
      <c r="H69" s="477">
        <v>7966.45</v>
      </c>
      <c r="I69" s="478">
        <v>7966.45</v>
      </c>
      <c r="J69" s="478">
        <v>1405.85</v>
      </c>
      <c r="K69" s="479">
        <v>1405.85</v>
      </c>
      <c r="L69" s="1127"/>
      <c r="M69" s="1127"/>
      <c r="N69" s="1156"/>
      <c r="O69" s="1127"/>
      <c r="P69" s="1127"/>
      <c r="Q69" s="469"/>
      <c r="R69" s="586"/>
      <c r="S69" s="1127"/>
      <c r="T69" s="1350">
        <f>(E66-N66)/E66*100/9</f>
        <v>8.390091722963696</v>
      </c>
      <c r="U69" s="363"/>
    </row>
    <row r="70" spans="1:21" s="93" customFormat="1" ht="27.75" customHeight="1" thickBot="1">
      <c r="A70" s="1067"/>
      <c r="B70" s="1067"/>
      <c r="C70" s="529"/>
      <c r="D70" s="530"/>
      <c r="E70" s="1144"/>
      <c r="F70" s="1145"/>
      <c r="G70" s="473"/>
      <c r="H70" s="477">
        <v>30610.72</v>
      </c>
      <c r="I70" s="478">
        <v>30610.72</v>
      </c>
      <c r="J70" s="478">
        <v>5401.9</v>
      </c>
      <c r="K70" s="479">
        <v>5401.89</v>
      </c>
      <c r="L70" s="1127"/>
      <c r="M70" s="1127"/>
      <c r="N70" s="1156"/>
      <c r="O70" s="1127"/>
      <c r="P70" s="1127"/>
      <c r="Q70" s="469"/>
      <c r="R70" s="586"/>
      <c r="S70" s="1127"/>
      <c r="T70" s="1351"/>
      <c r="U70" s="363"/>
    </row>
    <row r="71" spans="1:21" s="93" customFormat="1" ht="27.75" customHeight="1" thickBot="1">
      <c r="A71" s="1128"/>
      <c r="B71" s="1128"/>
      <c r="C71" s="529"/>
      <c r="D71" s="530"/>
      <c r="E71" s="1146"/>
      <c r="F71" s="1147"/>
      <c r="G71" s="473"/>
      <c r="H71" s="474">
        <v>16652.95</v>
      </c>
      <c r="I71" s="475">
        <v>16652.95</v>
      </c>
      <c r="J71" s="475">
        <v>2938.76</v>
      </c>
      <c r="K71" s="476">
        <v>2938.76</v>
      </c>
      <c r="L71" s="1157"/>
      <c r="M71" s="1157"/>
      <c r="N71" s="1132"/>
      <c r="O71" s="1157"/>
      <c r="P71" s="1157"/>
      <c r="Q71" s="469"/>
      <c r="R71" s="586"/>
      <c r="S71" s="1157"/>
      <c r="T71" s="590"/>
      <c r="U71" s="363"/>
    </row>
    <row r="72" spans="1:21" s="93" customFormat="1" ht="27.75" customHeight="1">
      <c r="A72" s="1427" t="s">
        <v>239</v>
      </c>
      <c r="B72" s="1427" t="s">
        <v>238</v>
      </c>
      <c r="C72" s="471">
        <f>102526+102526</f>
        <v>205052</v>
      </c>
      <c r="D72" s="484">
        <v>0</v>
      </c>
      <c r="E72" s="455">
        <v>205052</v>
      </c>
      <c r="F72" s="457">
        <v>0</v>
      </c>
      <c r="G72" s="468">
        <v>205052</v>
      </c>
      <c r="H72" s="455">
        <v>5009.41</v>
      </c>
      <c r="I72" s="456">
        <v>5009.4</v>
      </c>
      <c r="J72" s="456">
        <v>0</v>
      </c>
      <c r="K72" s="467">
        <v>0</v>
      </c>
      <c r="L72" s="1260">
        <f>SUM(H72:K75)</f>
        <v>53512.13</v>
      </c>
      <c r="M72" s="1256">
        <f>L72/E73*100</f>
        <v>26.09685835787995</v>
      </c>
      <c r="N72" s="1287">
        <f>35494+9009*2</f>
        <v>53512</v>
      </c>
      <c r="O72" s="1290">
        <f>N72/E72*100</f>
        <v>26.09679495932739</v>
      </c>
      <c r="P72" s="1290">
        <f>21152+7171*2+9009*2</f>
        <v>53512</v>
      </c>
      <c r="Q72" s="469"/>
      <c r="R72" s="470">
        <f>E72+F72</f>
        <v>205052</v>
      </c>
      <c r="S72" s="1256">
        <f>P72/E72*100</f>
        <v>26.09679495932739</v>
      </c>
      <c r="T72" s="590"/>
      <c r="U72" s="363"/>
    </row>
    <row r="73" spans="1:21" s="93" customFormat="1" ht="27.75" customHeight="1" thickBot="1">
      <c r="A73" s="1428"/>
      <c r="B73" s="1428"/>
      <c r="C73" s="1326">
        <f>C72+D72</f>
        <v>205052</v>
      </c>
      <c r="D73" s="1327"/>
      <c r="E73" s="1321">
        <v>205052</v>
      </c>
      <c r="F73" s="1328"/>
      <c r="G73" s="503">
        <v>205052</v>
      </c>
      <c r="H73" s="498">
        <v>5566.55</v>
      </c>
      <c r="I73" s="499">
        <v>5566.55</v>
      </c>
      <c r="J73" s="499">
        <v>0</v>
      </c>
      <c r="K73" s="501">
        <v>0</v>
      </c>
      <c r="L73" s="1318"/>
      <c r="M73" s="1257"/>
      <c r="N73" s="1288"/>
      <c r="O73" s="1292"/>
      <c r="P73" s="1292"/>
      <c r="Q73" s="469"/>
      <c r="R73" s="470">
        <f>E73</f>
        <v>205052</v>
      </c>
      <c r="S73" s="1257"/>
      <c r="T73" s="590"/>
      <c r="U73" s="363"/>
    </row>
    <row r="74" spans="1:21" s="93" customFormat="1" ht="27.75" customHeight="1" thickBot="1">
      <c r="A74" s="1428"/>
      <c r="B74" s="1428"/>
      <c r="C74" s="529"/>
      <c r="D74" s="530"/>
      <c r="E74" s="1323"/>
      <c r="F74" s="1329"/>
      <c r="G74" s="502"/>
      <c r="H74" s="498">
        <v>7170.98</v>
      </c>
      <c r="I74" s="499">
        <v>7170.97</v>
      </c>
      <c r="J74" s="499">
        <v>0</v>
      </c>
      <c r="K74" s="501">
        <v>0</v>
      </c>
      <c r="L74" s="1318"/>
      <c r="M74" s="1257"/>
      <c r="N74" s="1288"/>
      <c r="O74" s="1292"/>
      <c r="P74" s="1292"/>
      <c r="Q74" s="469"/>
      <c r="R74" s="470"/>
      <c r="S74" s="1257"/>
      <c r="T74" s="590"/>
      <c r="U74" s="363"/>
    </row>
    <row r="75" spans="1:21" s="93" customFormat="1" ht="18.75" customHeight="1" thickBot="1">
      <c r="A75" s="1128"/>
      <c r="B75" s="1128"/>
      <c r="C75" s="529"/>
      <c r="D75" s="530"/>
      <c r="E75" s="1146"/>
      <c r="F75" s="1107"/>
      <c r="G75" s="502"/>
      <c r="H75" s="737">
        <v>9009.14</v>
      </c>
      <c r="I75" s="738">
        <v>9009.13</v>
      </c>
      <c r="J75" s="738">
        <v>0</v>
      </c>
      <c r="K75" s="739">
        <v>0</v>
      </c>
      <c r="L75" s="1157"/>
      <c r="M75" s="1157"/>
      <c r="N75" s="1132"/>
      <c r="O75" s="1157"/>
      <c r="P75" s="1157"/>
      <c r="Q75" s="469"/>
      <c r="R75" s="470"/>
      <c r="S75" s="1157"/>
      <c r="T75" s="1350">
        <f>(E72-N72)/E72*100/9</f>
        <v>8.211467226741402</v>
      </c>
      <c r="U75" s="363"/>
    </row>
    <row r="76" spans="1:21" s="93" customFormat="1" ht="18.75" customHeight="1" thickBot="1">
      <c r="A76" s="1133" t="s">
        <v>235</v>
      </c>
      <c r="B76" s="1133" t="s">
        <v>234</v>
      </c>
      <c r="C76" s="265">
        <f>952338*2</f>
        <v>1904676</v>
      </c>
      <c r="D76" s="267">
        <f>168059.5*2</f>
        <v>336119</v>
      </c>
      <c r="E76" s="265">
        <v>1904676</v>
      </c>
      <c r="F76" s="433">
        <v>336119</v>
      </c>
      <c r="G76" s="317">
        <v>2240795</v>
      </c>
      <c r="H76" s="265">
        <v>1186.21</v>
      </c>
      <c r="I76" s="266">
        <v>1186.21</v>
      </c>
      <c r="J76" s="266">
        <v>209.33</v>
      </c>
      <c r="K76" s="267">
        <v>209.33</v>
      </c>
      <c r="L76" s="789">
        <f>SUM(H76:K85)</f>
        <v>2099222.7699999996</v>
      </c>
      <c r="M76" s="923">
        <f>SUM(L76/E77*100)</f>
        <v>93.6820534676309</v>
      </c>
      <c r="N76" s="1160">
        <f>2372+3271+58512+486181</f>
        <v>550336</v>
      </c>
      <c r="O76" s="1035">
        <f>N76/E76*100</f>
        <v>28.89394311683457</v>
      </c>
      <c r="P76" s="1035">
        <v>550336</v>
      </c>
      <c r="Q76" s="537"/>
      <c r="R76" s="538">
        <f>E76+F76</f>
        <v>2240795</v>
      </c>
      <c r="S76" s="923">
        <f>P76/E76*100</f>
        <v>28.89394311683457</v>
      </c>
      <c r="T76" s="1351"/>
      <c r="U76" s="363"/>
    </row>
    <row r="77" spans="1:21" s="93" customFormat="1" ht="18.75" customHeight="1">
      <c r="A77" s="1134"/>
      <c r="B77" s="1134"/>
      <c r="C77" s="359"/>
      <c r="D77" s="532"/>
      <c r="E77" s="1119">
        <v>2240795</v>
      </c>
      <c r="F77" s="1120"/>
      <c r="G77" s="354"/>
      <c r="H77" s="287">
        <v>1635.68</v>
      </c>
      <c r="I77" s="288">
        <v>1635.68</v>
      </c>
      <c r="J77" s="288">
        <v>288.65</v>
      </c>
      <c r="K77" s="285">
        <v>288.65</v>
      </c>
      <c r="L77" s="790"/>
      <c r="M77" s="924"/>
      <c r="N77" s="1161"/>
      <c r="O77" s="1036"/>
      <c r="P77" s="1036"/>
      <c r="Q77" s="537"/>
      <c r="R77" s="538"/>
      <c r="S77" s="924"/>
      <c r="T77" s="590"/>
      <c r="U77" s="363"/>
    </row>
    <row r="78" spans="1:21" s="93" customFormat="1" ht="18.75" customHeight="1" thickBot="1">
      <c r="A78" s="1134"/>
      <c r="B78" s="1134"/>
      <c r="C78" s="1024">
        <f>C76+D76</f>
        <v>2240795</v>
      </c>
      <c r="D78" s="1025"/>
      <c r="E78" s="1121"/>
      <c r="F78" s="1122"/>
      <c r="G78" s="422">
        <v>2240795</v>
      </c>
      <c r="H78" s="287">
        <v>17265.27</v>
      </c>
      <c r="I78" s="288">
        <v>17265.27</v>
      </c>
      <c r="J78" s="288">
        <v>3046.81</v>
      </c>
      <c r="K78" s="285">
        <v>3046.81</v>
      </c>
      <c r="L78" s="790"/>
      <c r="M78" s="924"/>
      <c r="N78" s="1161"/>
      <c r="O78" s="1036"/>
      <c r="P78" s="1036"/>
      <c r="Q78" s="537"/>
      <c r="R78" s="538">
        <f>E77</f>
        <v>2240795</v>
      </c>
      <c r="S78" s="924"/>
      <c r="T78" s="590"/>
      <c r="U78" s="363"/>
    </row>
    <row r="79" spans="1:21" s="92" customFormat="1" ht="32.25" customHeight="1">
      <c r="A79" s="1134"/>
      <c r="B79" s="1134"/>
      <c r="C79" s="359"/>
      <c r="D79" s="532"/>
      <c r="E79" s="1121"/>
      <c r="F79" s="1122"/>
      <c r="G79" s="362"/>
      <c r="H79" s="287">
        <v>10357.85</v>
      </c>
      <c r="I79" s="288">
        <v>10357.85</v>
      </c>
      <c r="J79" s="288">
        <v>1827.87</v>
      </c>
      <c r="K79" s="285">
        <v>1827.86</v>
      </c>
      <c r="L79" s="790"/>
      <c r="M79" s="924"/>
      <c r="N79" s="1161"/>
      <c r="O79" s="1036"/>
      <c r="P79" s="1036"/>
      <c r="Q79" s="743"/>
      <c r="R79" s="538"/>
      <c r="S79" s="924"/>
      <c r="T79" s="1348">
        <f>(C92/9)/C92*100</f>
        <v>11.11111111111111</v>
      </c>
      <c r="U79" s="538"/>
    </row>
    <row r="80" spans="1:21" s="92" customFormat="1" ht="32.25" customHeight="1" thickBot="1">
      <c r="A80" s="1134"/>
      <c r="B80" s="1134"/>
      <c r="C80" s="359"/>
      <c r="D80" s="532"/>
      <c r="E80" s="1121"/>
      <c r="F80" s="1122"/>
      <c r="G80" s="362"/>
      <c r="H80" s="287">
        <v>42319.71</v>
      </c>
      <c r="I80" s="288">
        <v>42319.71</v>
      </c>
      <c r="J80" s="288">
        <v>7468.2</v>
      </c>
      <c r="K80" s="285">
        <v>7468.19</v>
      </c>
      <c r="L80" s="790"/>
      <c r="M80" s="924"/>
      <c r="N80" s="1161"/>
      <c r="O80" s="1036"/>
      <c r="P80" s="1036"/>
      <c r="Q80" s="743"/>
      <c r="R80" s="538"/>
      <c r="S80" s="924"/>
      <c r="T80" s="1349"/>
      <c r="U80" s="538"/>
    </row>
    <row r="81" spans="1:21" s="92" customFormat="1" ht="32.25" customHeight="1">
      <c r="A81" s="1134"/>
      <c r="B81" s="1134"/>
      <c r="C81" s="359"/>
      <c r="D81" s="532"/>
      <c r="E81" s="1121"/>
      <c r="F81" s="1122"/>
      <c r="G81" s="362"/>
      <c r="H81" s="310">
        <v>1632.85</v>
      </c>
      <c r="I81" s="311">
        <v>1632.85</v>
      </c>
      <c r="J81" s="311">
        <v>288.15</v>
      </c>
      <c r="K81" s="415">
        <v>288.15</v>
      </c>
      <c r="L81" s="790"/>
      <c r="M81" s="924"/>
      <c r="N81" s="1161"/>
      <c r="O81" s="1036"/>
      <c r="P81" s="1036"/>
      <c r="Q81" s="743"/>
      <c r="R81" s="538"/>
      <c r="S81" s="924"/>
      <c r="T81" s="588"/>
      <c r="U81" s="538"/>
    </row>
    <row r="82" spans="1:21" s="92" customFormat="1" ht="32.25" customHeight="1" thickBot="1">
      <c r="A82" s="1134"/>
      <c r="B82" s="1134"/>
      <c r="C82" s="359"/>
      <c r="D82" s="532"/>
      <c r="E82" s="1121"/>
      <c r="F82" s="1122"/>
      <c r="G82" s="362"/>
      <c r="H82" s="310">
        <v>199147.82</v>
      </c>
      <c r="I82" s="311">
        <v>199147.82</v>
      </c>
      <c r="J82" s="311">
        <v>35143.73</v>
      </c>
      <c r="K82" s="415">
        <v>35143.73</v>
      </c>
      <c r="L82" s="790"/>
      <c r="M82" s="924"/>
      <c r="N82" s="1161"/>
      <c r="O82" s="1036"/>
      <c r="P82" s="1036"/>
      <c r="Q82" s="743"/>
      <c r="R82" s="538"/>
      <c r="S82" s="924"/>
      <c r="T82" s="588"/>
      <c r="U82" s="538"/>
    </row>
    <row r="83" spans="1:21" s="93" customFormat="1" ht="16.5" customHeight="1">
      <c r="A83" s="1134"/>
      <c r="B83" s="1134"/>
      <c r="C83" s="359"/>
      <c r="D83" s="532"/>
      <c r="E83" s="1121"/>
      <c r="F83" s="1122"/>
      <c r="G83" s="362"/>
      <c r="H83" s="310">
        <v>86807.39</v>
      </c>
      <c r="I83" s="311">
        <v>86807.39</v>
      </c>
      <c r="J83" s="311">
        <v>15318.95</v>
      </c>
      <c r="K83" s="415">
        <v>15318.95</v>
      </c>
      <c r="L83" s="790"/>
      <c r="M83" s="924"/>
      <c r="N83" s="1161"/>
      <c r="O83" s="1036"/>
      <c r="P83" s="1036"/>
      <c r="Q83" s="743"/>
      <c r="R83" s="538"/>
      <c r="S83" s="924"/>
      <c r="T83" s="1359">
        <f>(E76-N76)/E76*100/9</f>
        <v>7.900672987018382</v>
      </c>
      <c r="U83" s="363"/>
    </row>
    <row r="84" spans="1:21" s="93" customFormat="1" ht="16.5" customHeight="1">
      <c r="A84" s="1134"/>
      <c r="B84" s="1134"/>
      <c r="C84" s="359"/>
      <c r="D84" s="532"/>
      <c r="E84" s="1121"/>
      <c r="F84" s="1122"/>
      <c r="G84" s="362"/>
      <c r="H84" s="310">
        <v>1623.19</v>
      </c>
      <c r="I84" s="311">
        <v>1623.19</v>
      </c>
      <c r="J84" s="311">
        <v>286.45</v>
      </c>
      <c r="K84" s="415">
        <v>286.44</v>
      </c>
      <c r="L84" s="790"/>
      <c r="M84" s="924"/>
      <c r="N84" s="1161"/>
      <c r="O84" s="1036"/>
      <c r="P84" s="1036"/>
      <c r="Q84" s="743"/>
      <c r="R84" s="538"/>
      <c r="S84" s="924"/>
      <c r="T84" s="1360"/>
      <c r="U84" s="363"/>
    </row>
    <row r="85" spans="1:21" s="93" customFormat="1" ht="18" customHeight="1" thickBot="1">
      <c r="A85" s="1090"/>
      <c r="B85" s="1090"/>
      <c r="C85" s="359"/>
      <c r="D85" s="532"/>
      <c r="E85" s="905"/>
      <c r="F85" s="906"/>
      <c r="G85" s="362"/>
      <c r="H85" s="310">
        <v>530193.7</v>
      </c>
      <c r="I85" s="311">
        <v>530193.7</v>
      </c>
      <c r="J85" s="311">
        <v>93563.59</v>
      </c>
      <c r="K85" s="415">
        <v>93563.59</v>
      </c>
      <c r="L85" s="766"/>
      <c r="M85" s="927"/>
      <c r="N85" s="1126"/>
      <c r="O85" s="1027"/>
      <c r="P85" s="1027"/>
      <c r="Q85" s="743"/>
      <c r="R85" s="538"/>
      <c r="S85" s="927"/>
      <c r="T85" s="1362"/>
      <c r="U85" s="363"/>
    </row>
    <row r="86" spans="1:21" s="93" customFormat="1" ht="18" customHeight="1">
      <c r="A86" s="1133" t="s">
        <v>49</v>
      </c>
      <c r="B86" s="1133" t="s">
        <v>189</v>
      </c>
      <c r="C86" s="265">
        <f>198085+198086</f>
        <v>396171</v>
      </c>
      <c r="D86" s="267">
        <f>34956*2</f>
        <v>69912</v>
      </c>
      <c r="E86" s="265">
        <v>396171</v>
      </c>
      <c r="F86" s="267">
        <v>69912</v>
      </c>
      <c r="G86" s="317">
        <v>466083</v>
      </c>
      <c r="H86" s="265">
        <v>4250</v>
      </c>
      <c r="I86" s="266">
        <v>4250</v>
      </c>
      <c r="J86" s="266">
        <v>750</v>
      </c>
      <c r="K86" s="267">
        <v>750</v>
      </c>
      <c r="L86" s="789">
        <f>SUM(H86:K91)</f>
        <v>442778.85000000003</v>
      </c>
      <c r="M86" s="923">
        <f>L86/E87*100</f>
        <v>95</v>
      </c>
      <c r="N86" s="1160">
        <f>275*2+1799+113538+21635+21634</f>
        <v>159156</v>
      </c>
      <c r="O86" s="1035">
        <f>N86/E86*100</f>
        <v>40.17356141666099</v>
      </c>
      <c r="P86" s="1160">
        <f>2349+56769*2+21635+21634</f>
        <v>159156</v>
      </c>
      <c r="Q86" s="1302">
        <f>P86/E86*100</f>
        <v>40.17356141666099</v>
      </c>
      <c r="R86" s="538">
        <f>E86+F86</f>
        <v>466083</v>
      </c>
      <c r="S86" s="923">
        <f>P86/E86*100</f>
        <v>40.17356141666099</v>
      </c>
      <c r="T86" s="590"/>
      <c r="U86" s="363"/>
    </row>
    <row r="87" spans="1:21" s="93" customFormat="1" ht="18" customHeight="1" thickBot="1">
      <c r="A87" s="1134"/>
      <c r="B87" s="1134"/>
      <c r="C87" s="1119">
        <f>C86+D86</f>
        <v>466083</v>
      </c>
      <c r="D87" s="1120"/>
      <c r="E87" s="1119">
        <v>466083</v>
      </c>
      <c r="F87" s="1120"/>
      <c r="G87" s="421">
        <v>466083</v>
      </c>
      <c r="H87" s="287">
        <v>57375</v>
      </c>
      <c r="I87" s="288">
        <v>57375</v>
      </c>
      <c r="J87" s="288">
        <v>10125</v>
      </c>
      <c r="K87" s="285">
        <v>10125</v>
      </c>
      <c r="L87" s="790"/>
      <c r="M87" s="924"/>
      <c r="N87" s="1161"/>
      <c r="O87" s="1036"/>
      <c r="P87" s="1161"/>
      <c r="Q87" s="1303"/>
      <c r="R87" s="538">
        <f>E87</f>
        <v>466083</v>
      </c>
      <c r="S87" s="924"/>
      <c r="T87" s="590"/>
      <c r="U87" s="363"/>
    </row>
    <row r="88" spans="1:21" s="93" customFormat="1" ht="18" customHeight="1" thickBot="1">
      <c r="A88" s="1134"/>
      <c r="B88" s="1134"/>
      <c r="C88" s="1267"/>
      <c r="D88" s="1268"/>
      <c r="E88" s="1121"/>
      <c r="F88" s="1122"/>
      <c r="G88" s="63"/>
      <c r="H88" s="287">
        <v>17883.87</v>
      </c>
      <c r="I88" s="288">
        <v>17883.87</v>
      </c>
      <c r="J88" s="288">
        <v>3155.98</v>
      </c>
      <c r="K88" s="285">
        <v>3155.98</v>
      </c>
      <c r="L88" s="790"/>
      <c r="M88" s="924"/>
      <c r="N88" s="1161"/>
      <c r="O88" s="1036"/>
      <c r="P88" s="1161"/>
      <c r="Q88" s="537"/>
      <c r="R88" s="538"/>
      <c r="S88" s="924"/>
      <c r="T88" s="590"/>
      <c r="U88" s="363"/>
    </row>
    <row r="89" spans="1:21" s="93" customFormat="1" ht="18" customHeight="1">
      <c r="A89" s="1134"/>
      <c r="B89" s="1134"/>
      <c r="C89" s="582"/>
      <c r="D89" s="584"/>
      <c r="E89" s="1121"/>
      <c r="F89" s="1122"/>
      <c r="G89" s="63"/>
      <c r="H89" s="287">
        <v>899.07</v>
      </c>
      <c r="I89" s="288">
        <v>899.07</v>
      </c>
      <c r="J89" s="288">
        <v>158.66</v>
      </c>
      <c r="K89" s="285">
        <v>158.66</v>
      </c>
      <c r="L89" s="790"/>
      <c r="M89" s="924"/>
      <c r="N89" s="1161"/>
      <c r="O89" s="1036"/>
      <c r="P89" s="1161"/>
      <c r="Q89" s="743"/>
      <c r="R89" s="538"/>
      <c r="S89" s="924"/>
      <c r="T89" s="590"/>
      <c r="U89" s="363"/>
    </row>
    <row r="90" spans="1:21" s="93" customFormat="1" ht="18" customHeight="1">
      <c r="A90" s="1134"/>
      <c r="B90" s="1134"/>
      <c r="C90" s="582"/>
      <c r="D90" s="584"/>
      <c r="E90" s="1121"/>
      <c r="F90" s="1122"/>
      <c r="G90" s="63"/>
      <c r="H90" s="287">
        <v>56769.2</v>
      </c>
      <c r="I90" s="288">
        <v>56769.2</v>
      </c>
      <c r="J90" s="288">
        <v>10018.11</v>
      </c>
      <c r="K90" s="285">
        <v>10018.1</v>
      </c>
      <c r="L90" s="790"/>
      <c r="M90" s="924"/>
      <c r="N90" s="1161"/>
      <c r="O90" s="1036"/>
      <c r="P90" s="1161"/>
      <c r="Q90" s="743"/>
      <c r="R90" s="538"/>
      <c r="S90" s="924"/>
      <c r="T90" s="590"/>
      <c r="U90" s="363"/>
    </row>
    <row r="91" spans="1:21" s="93" customFormat="1" ht="18" customHeight="1" thickBot="1">
      <c r="A91" s="1090"/>
      <c r="B91" s="1090"/>
      <c r="C91" s="582"/>
      <c r="D91" s="584"/>
      <c r="E91" s="905"/>
      <c r="F91" s="906"/>
      <c r="G91" s="63"/>
      <c r="H91" s="282">
        <v>51004.56</v>
      </c>
      <c r="I91" s="283">
        <v>51003.61</v>
      </c>
      <c r="J91" s="283">
        <v>9000.45</v>
      </c>
      <c r="K91" s="284">
        <v>9000.46</v>
      </c>
      <c r="L91" s="766"/>
      <c r="M91" s="927"/>
      <c r="N91" s="1126"/>
      <c r="O91" s="1027"/>
      <c r="P91" s="1126"/>
      <c r="Q91" s="743"/>
      <c r="R91" s="538"/>
      <c r="S91" s="927"/>
      <c r="T91" s="590"/>
      <c r="U91" s="363"/>
    </row>
    <row r="92" spans="1:21" s="93" customFormat="1" ht="18" customHeight="1" thickBot="1">
      <c r="A92" s="1133" t="s">
        <v>154</v>
      </c>
      <c r="B92" s="1133" t="s">
        <v>155</v>
      </c>
      <c r="C92" s="265">
        <v>399466</v>
      </c>
      <c r="D92" s="267">
        <v>70494</v>
      </c>
      <c r="E92" s="266">
        <v>399466</v>
      </c>
      <c r="F92" s="313">
        <v>70494</v>
      </c>
      <c r="G92" s="423">
        <v>469960</v>
      </c>
      <c r="H92" s="265">
        <v>0</v>
      </c>
      <c r="I92" s="266">
        <v>159786.4</v>
      </c>
      <c r="J92" s="266">
        <v>0</v>
      </c>
      <c r="K92" s="267">
        <v>28197.6</v>
      </c>
      <c r="L92" s="789">
        <f>SUM(H92:K95)</f>
        <v>446462</v>
      </c>
      <c r="M92" s="923">
        <f>L92/E93*100</f>
        <v>95</v>
      </c>
      <c r="N92" s="1077">
        <f>IP_čerapanie!N506</f>
        <v>189570</v>
      </c>
      <c r="O92" s="1251">
        <f>N92/E92*100</f>
        <v>47.45585356450862</v>
      </c>
      <c r="P92" s="1251">
        <v>107449</v>
      </c>
      <c r="Q92" s="1302">
        <f>P92/E92*100</f>
        <v>26.898159042321502</v>
      </c>
      <c r="R92" s="538">
        <f>E92+F92</f>
        <v>469960</v>
      </c>
      <c r="S92" s="920">
        <f>P92/E92*100</f>
        <v>26.898159042321502</v>
      </c>
      <c r="T92" s="590"/>
      <c r="U92" s="363"/>
    </row>
    <row r="93" spans="1:21" s="93" customFormat="1" ht="26.25" customHeight="1" thickBot="1">
      <c r="A93" s="1134"/>
      <c r="B93" s="1134"/>
      <c r="C93" s="1296">
        <f>C92+D92</f>
        <v>469960</v>
      </c>
      <c r="D93" s="1297"/>
      <c r="E93" s="990">
        <v>469960</v>
      </c>
      <c r="F93" s="1277"/>
      <c r="G93" s="424">
        <v>469960</v>
      </c>
      <c r="H93" s="287">
        <v>0</v>
      </c>
      <c r="I93" s="288">
        <v>33772.6</v>
      </c>
      <c r="J93" s="288">
        <v>0</v>
      </c>
      <c r="K93" s="285">
        <v>5959.87</v>
      </c>
      <c r="L93" s="790"/>
      <c r="M93" s="924"/>
      <c r="N93" s="1075"/>
      <c r="O93" s="1252"/>
      <c r="P93" s="1252"/>
      <c r="Q93" s="1303"/>
      <c r="R93" s="538">
        <f>E93</f>
        <v>469960</v>
      </c>
      <c r="S93" s="921"/>
      <c r="T93" s="1251">
        <f>(E104-N104)/E104*100/9</f>
        <v>5.039927130890579</v>
      </c>
      <c r="U93" s="363"/>
    </row>
    <row r="94" spans="1:21" s="93" customFormat="1" ht="20.25" customHeight="1">
      <c r="A94" s="1134"/>
      <c r="B94" s="1134"/>
      <c r="C94" s="359"/>
      <c r="D94" s="284"/>
      <c r="E94" s="992"/>
      <c r="F94" s="1278"/>
      <c r="G94" s="63"/>
      <c r="H94" s="287">
        <v>0</v>
      </c>
      <c r="I94" s="288">
        <v>73676.58</v>
      </c>
      <c r="J94" s="288">
        <v>0</v>
      </c>
      <c r="K94" s="285">
        <v>13001.75</v>
      </c>
      <c r="L94" s="790"/>
      <c r="M94" s="924"/>
      <c r="N94" s="1075"/>
      <c r="O94" s="1252"/>
      <c r="P94" s="1252"/>
      <c r="Q94" s="537"/>
      <c r="R94" s="538"/>
      <c r="S94" s="921"/>
      <c r="T94" s="1252"/>
      <c r="U94" s="363"/>
    </row>
    <row r="95" spans="1:21" s="93" customFormat="1" ht="22.5" customHeight="1" thickBot="1">
      <c r="A95" s="1090"/>
      <c r="B95" s="1090"/>
      <c r="C95" s="359"/>
      <c r="D95" s="284"/>
      <c r="E95" s="982"/>
      <c r="F95" s="1279"/>
      <c r="G95" s="63"/>
      <c r="H95" s="282">
        <v>0</v>
      </c>
      <c r="I95" s="283">
        <v>112257.12</v>
      </c>
      <c r="J95" s="283">
        <v>0</v>
      </c>
      <c r="K95" s="284">
        <v>19810.08</v>
      </c>
      <c r="L95" s="766"/>
      <c r="M95" s="927"/>
      <c r="N95" s="1076"/>
      <c r="O95" s="1253"/>
      <c r="P95" s="1253"/>
      <c r="Q95" s="537"/>
      <c r="R95" s="538"/>
      <c r="S95" s="922"/>
      <c r="T95" s="1253"/>
      <c r="U95" s="363"/>
    </row>
    <row r="96" spans="1:21" s="93" customFormat="1" ht="22.5" customHeight="1">
      <c r="A96" s="1133" t="s">
        <v>168</v>
      </c>
      <c r="B96" s="1133" t="s">
        <v>169</v>
      </c>
      <c r="C96" s="317">
        <f>250401+250400</f>
        <v>500801</v>
      </c>
      <c r="D96" s="267">
        <f>44188.5*2</f>
        <v>88377</v>
      </c>
      <c r="E96" s="312">
        <v>500801</v>
      </c>
      <c r="F96" s="267">
        <v>88377</v>
      </c>
      <c r="G96" s="317">
        <v>589178</v>
      </c>
      <c r="H96" s="265">
        <v>100160.26</v>
      </c>
      <c r="I96" s="266">
        <v>100160.26</v>
      </c>
      <c r="J96" s="266">
        <v>17675.34</v>
      </c>
      <c r="K96" s="267">
        <v>17675.34</v>
      </c>
      <c r="L96" s="789">
        <f>SUM(H96:K100)</f>
        <v>559719.1</v>
      </c>
      <c r="M96" s="923">
        <f>L96/E97*100</f>
        <v>95</v>
      </c>
      <c r="N96" s="1160">
        <f>197590+29331*2</f>
        <v>256252</v>
      </c>
      <c r="O96" s="1035">
        <f>N96/E96*100</f>
        <v>51.16842817805875</v>
      </c>
      <c r="P96" s="1035">
        <f>197590+29331*2</f>
        <v>256252</v>
      </c>
      <c r="Q96" s="1302">
        <f>P96/E96*100</f>
        <v>51.16842817805875</v>
      </c>
      <c r="R96" s="538">
        <f>E96+F96</f>
        <v>589178</v>
      </c>
      <c r="S96" s="923">
        <f>P96/E96*100</f>
        <v>51.16842817805875</v>
      </c>
      <c r="T96" s="588"/>
      <c r="U96" s="363"/>
    </row>
    <row r="97" spans="1:21" s="93" customFormat="1" ht="22.5" customHeight="1" thickBot="1">
      <c r="A97" s="1134"/>
      <c r="B97" s="1134"/>
      <c r="C97" s="1280">
        <f>C96+D96</f>
        <v>589178</v>
      </c>
      <c r="D97" s="1025"/>
      <c r="E97" s="1065">
        <v>589178</v>
      </c>
      <c r="F97" s="1065"/>
      <c r="G97" s="421">
        <v>589178</v>
      </c>
      <c r="H97" s="287">
        <v>30618.39</v>
      </c>
      <c r="I97" s="288">
        <v>30618.39</v>
      </c>
      <c r="J97" s="288">
        <v>5403.26</v>
      </c>
      <c r="K97" s="285">
        <v>5403.25</v>
      </c>
      <c r="L97" s="790"/>
      <c r="M97" s="924"/>
      <c r="N97" s="1161"/>
      <c r="O97" s="1036"/>
      <c r="P97" s="1036"/>
      <c r="Q97" s="1303"/>
      <c r="R97" s="538">
        <f>E97</f>
        <v>589178</v>
      </c>
      <c r="S97" s="924"/>
      <c r="T97" s="588"/>
      <c r="U97" s="363"/>
    </row>
    <row r="98" spans="1:21" s="93" customFormat="1" ht="22.5" customHeight="1" thickBot="1">
      <c r="A98" s="1134"/>
      <c r="B98" s="1134"/>
      <c r="C98" s="354"/>
      <c r="D98" s="354"/>
      <c r="E98" s="1058"/>
      <c r="F98" s="1058"/>
      <c r="G98" s="63"/>
      <c r="H98" s="287">
        <v>27798.38</v>
      </c>
      <c r="I98" s="288">
        <v>27798.38</v>
      </c>
      <c r="J98" s="288">
        <v>4905.6</v>
      </c>
      <c r="K98" s="285">
        <v>4905.6</v>
      </c>
      <c r="L98" s="790"/>
      <c r="M98" s="924"/>
      <c r="N98" s="1161"/>
      <c r="O98" s="1036"/>
      <c r="P98" s="1036"/>
      <c r="Q98" s="537"/>
      <c r="R98" s="538"/>
      <c r="S98" s="924"/>
      <c r="T98" s="588"/>
      <c r="U98" s="363"/>
    </row>
    <row r="99" spans="1:21" s="93" customFormat="1" ht="27" customHeight="1">
      <c r="A99" s="1067"/>
      <c r="B99" s="1067"/>
      <c r="C99" s="354"/>
      <c r="D99" s="354"/>
      <c r="E99" s="1106"/>
      <c r="F99" s="1106"/>
      <c r="G99" s="63"/>
      <c r="H99" s="287">
        <v>31766.05</v>
      </c>
      <c r="I99" s="288">
        <v>31766.05</v>
      </c>
      <c r="J99" s="288">
        <v>5605.77</v>
      </c>
      <c r="K99" s="285">
        <v>5605.77</v>
      </c>
      <c r="L99" s="1127"/>
      <c r="M99" s="1127"/>
      <c r="N99" s="1156"/>
      <c r="O99" s="926"/>
      <c r="P99" s="926"/>
      <c r="Q99" s="537"/>
      <c r="R99" s="538"/>
      <c r="S99" s="926"/>
      <c r="T99" s="1350">
        <f>(E86-N86)/E86*100/9</f>
        <v>6.647382064815446</v>
      </c>
      <c r="U99" s="363"/>
    </row>
    <row r="100" spans="1:21" s="93" customFormat="1" ht="21.75" customHeight="1" thickBot="1">
      <c r="A100" s="1128"/>
      <c r="B100" s="1128"/>
      <c r="C100" s="354"/>
      <c r="D100" s="354"/>
      <c r="E100" s="1107"/>
      <c r="F100" s="1107"/>
      <c r="G100" s="63"/>
      <c r="H100" s="774">
        <v>47537.87</v>
      </c>
      <c r="I100" s="775">
        <v>47536.92</v>
      </c>
      <c r="J100" s="775">
        <v>8389.11</v>
      </c>
      <c r="K100" s="874">
        <v>8389.11</v>
      </c>
      <c r="L100" s="1157"/>
      <c r="M100" s="1157"/>
      <c r="N100" s="1132"/>
      <c r="O100" s="1157"/>
      <c r="P100" s="1157"/>
      <c r="Q100" s="537"/>
      <c r="R100" s="538"/>
      <c r="S100" s="1157"/>
      <c r="T100" s="1370"/>
      <c r="U100" s="363"/>
    </row>
    <row r="101" spans="1:21" s="93" customFormat="1" ht="21.75" customHeight="1" thickBot="1">
      <c r="A101" s="1133" t="s">
        <v>194</v>
      </c>
      <c r="B101" s="1133" t="s">
        <v>195</v>
      </c>
      <c r="C101" s="310">
        <f>137281+137280</f>
        <v>274561</v>
      </c>
      <c r="D101" s="289">
        <f>24226*2</f>
        <v>48452</v>
      </c>
      <c r="E101" s="310">
        <v>274561</v>
      </c>
      <c r="F101" s="289">
        <v>48452</v>
      </c>
      <c r="G101" s="427">
        <v>323013</v>
      </c>
      <c r="H101" s="310">
        <v>53460.33</v>
      </c>
      <c r="I101" s="311">
        <v>53460.33</v>
      </c>
      <c r="J101" s="311">
        <v>9434.18</v>
      </c>
      <c r="K101" s="289">
        <v>9434.18</v>
      </c>
      <c r="L101" s="789">
        <f>SUM(H101:K103)</f>
        <v>306862.35</v>
      </c>
      <c r="M101" s="923">
        <f>L101/E102*100</f>
        <v>95</v>
      </c>
      <c r="N101" s="1160">
        <f>15977+84138+24881+24882</f>
        <v>149878</v>
      </c>
      <c r="O101" s="1035">
        <f>N101/E101*100</f>
        <v>54.58823358015159</v>
      </c>
      <c r="P101" s="1035">
        <v>100115</v>
      </c>
      <c r="Q101" s="1312">
        <f>P101/E101*100</f>
        <v>36.46366381241327</v>
      </c>
      <c r="R101" s="538">
        <f>E101+F101</f>
        <v>323013</v>
      </c>
      <c r="S101" s="923">
        <f>P101/E101*100</f>
        <v>36.46366381241327</v>
      </c>
      <c r="T101" s="1351"/>
      <c r="U101" s="363"/>
    </row>
    <row r="102" spans="1:21" s="93" customFormat="1" ht="21.75" customHeight="1" thickBot="1">
      <c r="A102" s="1134"/>
      <c r="B102" s="1134"/>
      <c r="C102" s="1024">
        <f>C101+D101</f>
        <v>323013</v>
      </c>
      <c r="D102" s="1025"/>
      <c r="E102" s="990">
        <v>323013</v>
      </c>
      <c r="F102" s="1341"/>
      <c r="G102" s="769">
        <v>323013</v>
      </c>
      <c r="H102" s="287">
        <v>51508.48</v>
      </c>
      <c r="I102" s="288">
        <v>51508.48</v>
      </c>
      <c r="J102" s="288">
        <v>9089.73</v>
      </c>
      <c r="K102" s="285">
        <v>9089.73</v>
      </c>
      <c r="L102" s="1295"/>
      <c r="M102" s="924"/>
      <c r="N102" s="1064"/>
      <c r="O102" s="1036"/>
      <c r="P102" s="1295"/>
      <c r="Q102" s="1303"/>
      <c r="R102" s="538">
        <f>E102</f>
        <v>323013</v>
      </c>
      <c r="S102" s="924"/>
      <c r="T102" s="590"/>
      <c r="U102" s="363"/>
    </row>
    <row r="103" spans="1:21" s="93" customFormat="1" ht="21.75" customHeight="1" thickBot="1">
      <c r="A103" s="1128"/>
      <c r="B103" s="1128"/>
      <c r="C103" s="359"/>
      <c r="D103" s="532"/>
      <c r="E103" s="994"/>
      <c r="F103" s="995"/>
      <c r="G103" s="115"/>
      <c r="H103" s="282">
        <v>25448.14</v>
      </c>
      <c r="I103" s="283">
        <v>25447.19</v>
      </c>
      <c r="J103" s="283">
        <v>4490.79</v>
      </c>
      <c r="K103" s="284">
        <v>4490.79</v>
      </c>
      <c r="L103" s="1157"/>
      <c r="M103" s="1157"/>
      <c r="N103" s="1132"/>
      <c r="O103" s="1157"/>
      <c r="P103" s="1157"/>
      <c r="Q103" s="614"/>
      <c r="R103" s="538"/>
      <c r="S103" s="1157"/>
      <c r="T103" s="590"/>
      <c r="U103" s="363"/>
    </row>
    <row r="104" spans="1:21" s="92" customFormat="1" ht="22.5" customHeight="1">
      <c r="A104" s="1133" t="s">
        <v>183</v>
      </c>
      <c r="B104" s="1133" t="s">
        <v>184</v>
      </c>
      <c r="C104" s="310">
        <f>178951*2</f>
        <v>357902</v>
      </c>
      <c r="D104" s="289">
        <f>31579.5*2</f>
        <v>63159</v>
      </c>
      <c r="E104" s="265">
        <v>357902</v>
      </c>
      <c r="F104" s="267">
        <v>63159</v>
      </c>
      <c r="G104" s="317">
        <v>421061</v>
      </c>
      <c r="H104" s="265">
        <v>43921.63</v>
      </c>
      <c r="I104" s="266">
        <v>43921.63</v>
      </c>
      <c r="J104" s="266">
        <v>7750.88</v>
      </c>
      <c r="K104" s="267">
        <v>7750.88</v>
      </c>
      <c r="L104" s="789">
        <f>SUM(H104:K109)</f>
        <v>400007.95000000007</v>
      </c>
      <c r="M104" s="923">
        <f>L104/E105*100</f>
        <v>95.00000000000001</v>
      </c>
      <c r="N104" s="1160">
        <f>96693+13984+84883</f>
        <v>195560</v>
      </c>
      <c r="O104" s="1035">
        <f>N104/E104*100</f>
        <v>54.64065582198479</v>
      </c>
      <c r="P104" s="1035">
        <f>96693+6992*2</f>
        <v>110677</v>
      </c>
      <c r="Q104" s="1304">
        <f>P104/E104*100</f>
        <v>30.92382831054311</v>
      </c>
      <c r="R104" s="363">
        <f>E104+F104</f>
        <v>421061</v>
      </c>
      <c r="S104" s="923">
        <f>P104/E104*100</f>
        <v>30.92382831054311</v>
      </c>
      <c r="T104" s="1251">
        <f>(E101-N101)/E101*100/9</f>
        <v>5.045751824427601</v>
      </c>
      <c r="U104" s="538"/>
    </row>
    <row r="105" spans="1:21" s="92" customFormat="1" ht="22.5" customHeight="1" thickBot="1">
      <c r="A105" s="1134"/>
      <c r="B105" s="1134"/>
      <c r="C105" s="990">
        <f>C104+D104</f>
        <v>421061</v>
      </c>
      <c r="D105" s="991"/>
      <c r="E105" s="1119">
        <v>421061</v>
      </c>
      <c r="F105" s="1120"/>
      <c r="G105" s="63">
        <v>421061</v>
      </c>
      <c r="H105" s="287">
        <v>32883.53</v>
      </c>
      <c r="I105" s="288">
        <v>32883.53</v>
      </c>
      <c r="J105" s="288">
        <v>5802.98</v>
      </c>
      <c r="K105" s="285">
        <v>5802.98</v>
      </c>
      <c r="L105" s="790"/>
      <c r="M105" s="924"/>
      <c r="N105" s="1161"/>
      <c r="O105" s="1036"/>
      <c r="P105" s="1036"/>
      <c r="Q105" s="1305"/>
      <c r="R105" s="363">
        <f>E105</f>
        <v>421061</v>
      </c>
      <c r="S105" s="924"/>
      <c r="T105" s="1253"/>
      <c r="U105" s="538"/>
    </row>
    <row r="106" spans="1:21" s="93" customFormat="1" ht="32.25" customHeight="1">
      <c r="A106" s="1134"/>
      <c r="B106" s="1134"/>
      <c r="C106" s="359"/>
      <c r="D106" s="532"/>
      <c r="E106" s="1121"/>
      <c r="F106" s="1122"/>
      <c r="G106" s="63"/>
      <c r="H106" s="287">
        <v>4699.14</v>
      </c>
      <c r="I106" s="288">
        <v>4699.14</v>
      </c>
      <c r="J106" s="288">
        <v>829.27</v>
      </c>
      <c r="K106" s="285">
        <v>829.26</v>
      </c>
      <c r="L106" s="790"/>
      <c r="M106" s="924"/>
      <c r="N106" s="1161"/>
      <c r="O106" s="1036"/>
      <c r="P106" s="1036"/>
      <c r="Q106" s="315"/>
      <c r="R106" s="363"/>
      <c r="S106" s="924"/>
      <c r="T106" s="1350">
        <f>(C119/9)/C119*100</f>
        <v>11.11111111111111</v>
      </c>
      <c r="U106" s="363"/>
    </row>
    <row r="107" spans="1:21" s="93" customFormat="1" ht="24" customHeight="1" thickBot="1">
      <c r="A107" s="1134"/>
      <c r="B107" s="1134"/>
      <c r="C107" s="359"/>
      <c r="D107" s="532"/>
      <c r="E107" s="1121"/>
      <c r="F107" s="1122"/>
      <c r="G107" s="63"/>
      <c r="H107" s="328">
        <v>38421.67</v>
      </c>
      <c r="I107" s="329">
        <v>38421.67</v>
      </c>
      <c r="J107" s="329">
        <v>6780.3</v>
      </c>
      <c r="K107" s="330">
        <v>6780.29</v>
      </c>
      <c r="L107" s="790"/>
      <c r="M107" s="924"/>
      <c r="N107" s="1161"/>
      <c r="O107" s="1036"/>
      <c r="P107" s="1036"/>
      <c r="Q107" s="315"/>
      <c r="R107" s="363"/>
      <c r="S107" s="924"/>
      <c r="T107" s="1351"/>
      <c r="U107" s="363"/>
    </row>
    <row r="108" spans="1:21" s="93" customFormat="1" ht="24" customHeight="1">
      <c r="A108" s="1134"/>
      <c r="B108" s="1134"/>
      <c r="C108" s="359"/>
      <c r="D108" s="532"/>
      <c r="E108" s="1121"/>
      <c r="F108" s="1122"/>
      <c r="G108" s="63"/>
      <c r="H108" s="328">
        <v>7001.52</v>
      </c>
      <c r="I108" s="329">
        <v>7001.52</v>
      </c>
      <c r="J108" s="329">
        <v>1235.57</v>
      </c>
      <c r="K108" s="330">
        <v>1235.56</v>
      </c>
      <c r="L108" s="790"/>
      <c r="M108" s="924"/>
      <c r="N108" s="1161"/>
      <c r="O108" s="1036"/>
      <c r="P108" s="1036"/>
      <c r="Q108" s="315"/>
      <c r="R108" s="363"/>
      <c r="S108" s="924"/>
      <c r="T108" s="590"/>
      <c r="U108" s="363"/>
    </row>
    <row r="109" spans="1:21" s="92" customFormat="1" ht="22.5" customHeight="1" thickBot="1">
      <c r="A109" s="1090"/>
      <c r="B109" s="1090"/>
      <c r="C109" s="359"/>
      <c r="D109" s="532"/>
      <c r="E109" s="905"/>
      <c r="F109" s="906"/>
      <c r="G109" s="63"/>
      <c r="H109" s="774">
        <v>43075.96</v>
      </c>
      <c r="I109" s="775">
        <v>43075.96</v>
      </c>
      <c r="J109" s="775">
        <v>7601.53</v>
      </c>
      <c r="K109" s="874">
        <v>7601.55</v>
      </c>
      <c r="L109" s="766"/>
      <c r="M109" s="927"/>
      <c r="N109" s="1126"/>
      <c r="O109" s="1027"/>
      <c r="P109" s="1027"/>
      <c r="Q109" s="315"/>
      <c r="R109" s="363"/>
      <c r="S109" s="927"/>
      <c r="T109" s="588"/>
      <c r="U109" s="538"/>
    </row>
    <row r="110" spans="1:21" s="93" customFormat="1" ht="21.75" customHeight="1">
      <c r="A110" s="1133" t="s">
        <v>150</v>
      </c>
      <c r="B110" s="1133" t="s">
        <v>151</v>
      </c>
      <c r="C110" s="435">
        <v>341346</v>
      </c>
      <c r="D110" s="267">
        <v>60238</v>
      </c>
      <c r="E110" s="265">
        <v>341346</v>
      </c>
      <c r="F110" s="267">
        <v>60238</v>
      </c>
      <c r="G110" s="433">
        <v>401584</v>
      </c>
      <c r="H110" s="265">
        <v>0</v>
      </c>
      <c r="I110" s="266">
        <v>136538.05</v>
      </c>
      <c r="J110" s="266">
        <v>0</v>
      </c>
      <c r="K110" s="267">
        <v>24094.95</v>
      </c>
      <c r="L110" s="789">
        <f>SUM(H110:K113)</f>
        <v>336195.08</v>
      </c>
      <c r="M110" s="923">
        <f>L110/E111*100</f>
        <v>83.71724969122276</v>
      </c>
      <c r="N110" s="1077">
        <f>69739+35334+88128</f>
        <v>193201</v>
      </c>
      <c r="O110" s="1251">
        <f>N110/E110*100</f>
        <v>56.599755087213566</v>
      </c>
      <c r="P110" s="1251">
        <v>193201</v>
      </c>
      <c r="Q110" s="1304">
        <f>P110/E110*100</f>
        <v>56.599755087213566</v>
      </c>
      <c r="R110" s="363">
        <f>E110+F110</f>
        <v>401584</v>
      </c>
      <c r="S110" s="920">
        <f>P110/E110*100</f>
        <v>56.599755087213566</v>
      </c>
      <c r="T110" s="590"/>
      <c r="U110" s="363"/>
    </row>
    <row r="111" spans="1:21" s="92" customFormat="1" ht="18.75" customHeight="1" thickBot="1">
      <c r="A111" s="1134"/>
      <c r="B111" s="1134"/>
      <c r="C111" s="1296">
        <f>C110+D110</f>
        <v>401584</v>
      </c>
      <c r="D111" s="1297"/>
      <c r="E111" s="990">
        <v>401584</v>
      </c>
      <c r="F111" s="1277"/>
      <c r="G111" s="659">
        <v>401584</v>
      </c>
      <c r="H111" s="287">
        <v>0</v>
      </c>
      <c r="I111" s="288">
        <v>69068.57</v>
      </c>
      <c r="J111" s="288">
        <v>0</v>
      </c>
      <c r="K111" s="285">
        <v>12188.57</v>
      </c>
      <c r="L111" s="790"/>
      <c r="M111" s="924"/>
      <c r="N111" s="1075"/>
      <c r="O111" s="1252"/>
      <c r="P111" s="1252"/>
      <c r="Q111" s="1307"/>
      <c r="R111" s="363">
        <f>E111</f>
        <v>401584</v>
      </c>
      <c r="S111" s="921"/>
      <c r="T111" s="588"/>
      <c r="U111" s="538"/>
    </row>
    <row r="112" spans="1:21" s="92" customFormat="1" ht="18.75" customHeight="1">
      <c r="A112" s="1134"/>
      <c r="B112" s="1134"/>
      <c r="C112" s="359"/>
      <c r="D112" s="284"/>
      <c r="E112" s="992"/>
      <c r="F112" s="1278"/>
      <c r="G112" s="354"/>
      <c r="H112" s="287">
        <v>0</v>
      </c>
      <c r="I112" s="288">
        <v>33065.08</v>
      </c>
      <c r="J112" s="288">
        <v>0</v>
      </c>
      <c r="K112" s="285">
        <v>5835.01</v>
      </c>
      <c r="L112" s="790"/>
      <c r="M112" s="924"/>
      <c r="N112" s="1075"/>
      <c r="O112" s="1252"/>
      <c r="P112" s="1252"/>
      <c r="Q112" s="315"/>
      <c r="R112" s="363"/>
      <c r="S112" s="921"/>
      <c r="T112" s="588"/>
      <c r="U112" s="538"/>
    </row>
    <row r="113" spans="1:21" s="92" customFormat="1" ht="18.75" customHeight="1" thickBot="1">
      <c r="A113" s="1090"/>
      <c r="B113" s="1090"/>
      <c r="C113" s="359"/>
      <c r="D113" s="284"/>
      <c r="E113" s="982"/>
      <c r="F113" s="1279"/>
      <c r="G113" s="354"/>
      <c r="H113" s="73">
        <v>0</v>
      </c>
      <c r="I113" s="44">
        <v>47094.12</v>
      </c>
      <c r="J113" s="44">
        <v>0</v>
      </c>
      <c r="K113" s="74">
        <v>8310.73</v>
      </c>
      <c r="L113" s="766"/>
      <c r="M113" s="927"/>
      <c r="N113" s="1076"/>
      <c r="O113" s="1253"/>
      <c r="P113" s="1253"/>
      <c r="Q113" s="315"/>
      <c r="R113" s="363"/>
      <c r="S113" s="922"/>
      <c r="T113" s="588"/>
      <c r="U113" s="538"/>
    </row>
    <row r="114" spans="1:21" s="92" customFormat="1" ht="18.75" customHeight="1">
      <c r="A114" s="1133" t="s">
        <v>156</v>
      </c>
      <c r="B114" s="1133" t="s">
        <v>157</v>
      </c>
      <c r="C114" s="310">
        <v>269599</v>
      </c>
      <c r="D114" s="289">
        <v>47576</v>
      </c>
      <c r="E114" s="310">
        <v>269599</v>
      </c>
      <c r="F114" s="289">
        <v>47576</v>
      </c>
      <c r="G114" s="427">
        <v>317175</v>
      </c>
      <c r="H114" s="310">
        <v>0</v>
      </c>
      <c r="I114" s="311">
        <v>91013.75</v>
      </c>
      <c r="J114" s="311">
        <v>0</v>
      </c>
      <c r="K114" s="289">
        <v>16061.25</v>
      </c>
      <c r="L114" s="789">
        <f>SUM(H114:K118)</f>
        <v>301316.25</v>
      </c>
      <c r="M114" s="923">
        <f>L114/E115*100</f>
        <v>95</v>
      </c>
      <c r="N114" s="1077">
        <f>8891+49859+30294+35944+33260</f>
        <v>158248</v>
      </c>
      <c r="O114" s="1251">
        <f>N114/E114*100</f>
        <v>58.69754709772662</v>
      </c>
      <c r="P114" s="1251">
        <f>0+8891+49859+30294+35944+33260</f>
        <v>158248</v>
      </c>
      <c r="Q114" s="1312">
        <f>P114/E114*100</f>
        <v>58.69754709772662</v>
      </c>
      <c r="R114" s="538">
        <f>E114+F114</f>
        <v>317175</v>
      </c>
      <c r="S114" s="920">
        <f>P114/E114*100</f>
        <v>58.69754709772662</v>
      </c>
      <c r="T114" s="1251">
        <f>(E192-N192)/E192*100/9</f>
        <v>3.737370383406125</v>
      </c>
      <c r="U114" s="538"/>
    </row>
    <row r="115" spans="1:21" s="92" customFormat="1" ht="19.5" customHeight="1" thickBot="1">
      <c r="A115" s="1134"/>
      <c r="B115" s="1134"/>
      <c r="C115" s="1296">
        <f>C114+D114</f>
        <v>317175</v>
      </c>
      <c r="D115" s="1297"/>
      <c r="E115" s="990">
        <v>317175</v>
      </c>
      <c r="F115" s="991"/>
      <c r="G115" s="425">
        <v>317175</v>
      </c>
      <c r="H115" s="287">
        <v>0</v>
      </c>
      <c r="I115" s="288">
        <v>30210.09</v>
      </c>
      <c r="J115" s="288">
        <v>0</v>
      </c>
      <c r="K115" s="285">
        <v>5331.19</v>
      </c>
      <c r="L115" s="790"/>
      <c r="M115" s="924"/>
      <c r="N115" s="1075"/>
      <c r="O115" s="1252"/>
      <c r="P115" s="1252"/>
      <c r="Q115" s="1303"/>
      <c r="R115" s="538">
        <f>E115</f>
        <v>317175</v>
      </c>
      <c r="S115" s="921"/>
      <c r="T115" s="1252"/>
      <c r="U115" s="538"/>
    </row>
    <row r="116" spans="1:21" s="92" customFormat="1" ht="19.5" customHeight="1">
      <c r="A116" s="1134"/>
      <c r="B116" s="1134"/>
      <c r="C116" s="282"/>
      <c r="D116" s="284"/>
      <c r="E116" s="992"/>
      <c r="F116" s="993"/>
      <c r="G116" s="63"/>
      <c r="H116" s="287">
        <v>0</v>
      </c>
      <c r="I116" s="288">
        <v>75659.54</v>
      </c>
      <c r="J116" s="288">
        <v>0</v>
      </c>
      <c r="K116" s="285">
        <v>13351.68</v>
      </c>
      <c r="L116" s="790"/>
      <c r="M116" s="924"/>
      <c r="N116" s="1075"/>
      <c r="O116" s="1252"/>
      <c r="P116" s="1252"/>
      <c r="Q116" s="537"/>
      <c r="R116" s="538"/>
      <c r="S116" s="921"/>
      <c r="T116" s="1252"/>
      <c r="U116" s="538"/>
    </row>
    <row r="117" spans="1:21" s="92" customFormat="1" ht="19.5" customHeight="1">
      <c r="A117" s="1134"/>
      <c r="B117" s="1134"/>
      <c r="C117" s="282"/>
      <c r="D117" s="284"/>
      <c r="E117" s="992"/>
      <c r="F117" s="993"/>
      <c r="G117" s="63"/>
      <c r="H117" s="287">
        <v>0</v>
      </c>
      <c r="I117" s="288">
        <v>35944.37</v>
      </c>
      <c r="J117" s="288">
        <v>0</v>
      </c>
      <c r="K117" s="285">
        <v>6343.13</v>
      </c>
      <c r="L117" s="790"/>
      <c r="M117" s="924"/>
      <c r="N117" s="1075"/>
      <c r="O117" s="1252"/>
      <c r="P117" s="1252"/>
      <c r="Q117" s="537"/>
      <c r="R117" s="538"/>
      <c r="S117" s="921"/>
      <c r="T117" s="1252"/>
      <c r="U117" s="538"/>
    </row>
    <row r="118" spans="1:21" s="92" customFormat="1" ht="19.5" customHeight="1" thickBot="1">
      <c r="A118" s="1090"/>
      <c r="B118" s="1090"/>
      <c r="C118" s="704"/>
      <c r="D118" s="355"/>
      <c r="E118" s="982"/>
      <c r="F118" s="983"/>
      <c r="G118" s="63"/>
      <c r="H118" s="282">
        <v>0</v>
      </c>
      <c r="I118" s="283">
        <v>23291.3</v>
      </c>
      <c r="J118" s="283">
        <v>0</v>
      </c>
      <c r="K118" s="532">
        <v>4109.95</v>
      </c>
      <c r="L118" s="766"/>
      <c r="M118" s="927"/>
      <c r="N118" s="1076"/>
      <c r="O118" s="1253"/>
      <c r="P118" s="1253"/>
      <c r="Q118" s="537"/>
      <c r="R118" s="538"/>
      <c r="S118" s="922"/>
      <c r="T118" s="1253"/>
      <c r="U118" s="538"/>
    </row>
    <row r="119" spans="1:21" s="92" customFormat="1" ht="19.5" customHeight="1">
      <c r="A119" s="1133" t="s">
        <v>173</v>
      </c>
      <c r="B119" s="1133" t="s">
        <v>174</v>
      </c>
      <c r="C119" s="265">
        <f>414176+414175</f>
        <v>828351</v>
      </c>
      <c r="D119" s="267">
        <f>46019.5+46019.5</f>
        <v>92039</v>
      </c>
      <c r="E119" s="265">
        <v>828351</v>
      </c>
      <c r="F119" s="267">
        <v>92039</v>
      </c>
      <c r="G119" s="317">
        <v>920390</v>
      </c>
      <c r="H119" s="265">
        <v>165670.2</v>
      </c>
      <c r="I119" s="266">
        <v>165670.2</v>
      </c>
      <c r="J119" s="266">
        <v>18407.8</v>
      </c>
      <c r="K119" s="267">
        <v>18407.8</v>
      </c>
      <c r="L119" s="789">
        <f>SUM(H119:K122)</f>
        <v>874370.4999999998</v>
      </c>
      <c r="M119" s="923">
        <f>L119/E120*100</f>
        <v>94.99999999999997</v>
      </c>
      <c r="N119" s="1160">
        <f>276289+105269+105270</f>
        <v>486828</v>
      </c>
      <c r="O119" s="1035">
        <f>N119/E119*100</f>
        <v>58.77073849129173</v>
      </c>
      <c r="P119" s="1035">
        <f>59316+108486+108487+105270+105269</f>
        <v>486828</v>
      </c>
      <c r="Q119" s="1302">
        <f>P119/E119*100</f>
        <v>58.77073849129173</v>
      </c>
      <c r="R119" s="611">
        <f>E119+F119</f>
        <v>920390</v>
      </c>
      <c r="S119" s="923">
        <f>P119/E119*100</f>
        <v>58.77073849129173</v>
      </c>
      <c r="T119" s="588"/>
      <c r="U119" s="538"/>
    </row>
    <row r="120" spans="1:21" s="92" customFormat="1" ht="19.5" customHeight="1" thickBot="1">
      <c r="A120" s="1134"/>
      <c r="B120" s="1134"/>
      <c r="C120" s="1024">
        <f>C119+D119</f>
        <v>920390</v>
      </c>
      <c r="D120" s="1025"/>
      <c r="E120" s="1119">
        <v>920390</v>
      </c>
      <c r="F120" s="1065"/>
      <c r="G120" s="421">
        <v>920390</v>
      </c>
      <c r="H120" s="287">
        <v>29657.99</v>
      </c>
      <c r="I120" s="288">
        <v>29657.99</v>
      </c>
      <c r="J120" s="288">
        <v>3295.34</v>
      </c>
      <c r="K120" s="285">
        <v>3295.32</v>
      </c>
      <c r="L120" s="1295"/>
      <c r="M120" s="924"/>
      <c r="N120" s="1064"/>
      <c r="O120" s="1036"/>
      <c r="P120" s="1295"/>
      <c r="Q120" s="1303"/>
      <c r="R120" s="680">
        <f>E120</f>
        <v>920390</v>
      </c>
      <c r="S120" s="924"/>
      <c r="T120" s="588"/>
      <c r="U120" s="538"/>
    </row>
    <row r="121" spans="1:21" s="92" customFormat="1" ht="19.5" customHeight="1" thickBot="1">
      <c r="A121" s="1063"/>
      <c r="B121" s="1063"/>
      <c r="C121" s="598"/>
      <c r="D121" s="608"/>
      <c r="E121" s="1281"/>
      <c r="F121" s="1282"/>
      <c r="G121" s="421"/>
      <c r="H121" s="287">
        <v>108280.58</v>
      </c>
      <c r="I121" s="288">
        <v>108280.58</v>
      </c>
      <c r="J121" s="288">
        <v>12031.19</v>
      </c>
      <c r="K121" s="285">
        <v>12031.18</v>
      </c>
      <c r="L121" s="1294"/>
      <c r="M121" s="1294"/>
      <c r="N121" s="1064"/>
      <c r="O121" s="1295"/>
      <c r="P121" s="1295"/>
      <c r="Q121" s="614"/>
      <c r="R121" s="612"/>
      <c r="S121" s="1295"/>
      <c r="T121" s="588"/>
      <c r="U121" s="538"/>
    </row>
    <row r="122" spans="1:21" s="92" customFormat="1" ht="19.5" customHeight="1" thickBot="1">
      <c r="A122" s="1128"/>
      <c r="B122" s="1128"/>
      <c r="C122" s="359"/>
      <c r="D122" s="532"/>
      <c r="E122" s="1146"/>
      <c r="F122" s="1107"/>
      <c r="G122" s="63"/>
      <c r="H122" s="710">
        <v>89858.43</v>
      </c>
      <c r="I122" s="711">
        <v>89857.48</v>
      </c>
      <c r="J122" s="711">
        <v>9984.2</v>
      </c>
      <c r="K122" s="712">
        <v>9984.22</v>
      </c>
      <c r="L122" s="1157"/>
      <c r="M122" s="1157"/>
      <c r="N122" s="1132"/>
      <c r="O122" s="1157"/>
      <c r="P122" s="1157"/>
      <c r="Q122" s="537"/>
      <c r="R122" s="680"/>
      <c r="S122" s="1157"/>
      <c r="T122" s="588"/>
      <c r="U122" s="538"/>
    </row>
    <row r="123" spans="1:21" s="92" customFormat="1" ht="19.5" customHeight="1">
      <c r="A123" s="1133" t="s">
        <v>148</v>
      </c>
      <c r="B123" s="1133" t="s">
        <v>149</v>
      </c>
      <c r="C123" s="265">
        <f>359116+359115</f>
        <v>718231</v>
      </c>
      <c r="D123" s="267">
        <f>63373.5*2</f>
        <v>126747</v>
      </c>
      <c r="E123" s="265">
        <v>718231</v>
      </c>
      <c r="F123" s="267">
        <v>126747</v>
      </c>
      <c r="G123" s="317">
        <v>844978</v>
      </c>
      <c r="H123" s="265">
        <v>143646.18</v>
      </c>
      <c r="I123" s="266">
        <v>143646.18</v>
      </c>
      <c r="J123" s="266">
        <v>25349.32</v>
      </c>
      <c r="K123" s="267">
        <v>25349.32</v>
      </c>
      <c r="L123" s="789">
        <f>SUM(H123:K126)</f>
        <v>802729.11</v>
      </c>
      <c r="M123" s="923">
        <f>L123/E124*100</f>
        <v>95.00000118346277</v>
      </c>
      <c r="N123" s="1077">
        <f>200339+7975+53023+166226</f>
        <v>427563</v>
      </c>
      <c r="O123" s="1251">
        <f>N123/E123*100</f>
        <v>59.530011932094276</v>
      </c>
      <c r="P123" s="1251">
        <f>261337+83113*2</f>
        <v>427563</v>
      </c>
      <c r="Q123" s="1339">
        <f>P123/E123*100</f>
        <v>59.530011932094276</v>
      </c>
      <c r="R123" s="523">
        <f>E123+F123</f>
        <v>844978</v>
      </c>
      <c r="S123" s="920">
        <f>P123/E123*100</f>
        <v>59.530011932094276</v>
      </c>
      <c r="T123" s="588"/>
      <c r="U123" s="538"/>
    </row>
    <row r="124" spans="1:21" s="92" customFormat="1" ht="19.5" customHeight="1" thickBot="1">
      <c r="A124" s="1134"/>
      <c r="B124" s="1134"/>
      <c r="C124" s="1424">
        <f>C123+D123</f>
        <v>844978</v>
      </c>
      <c r="D124" s="1425"/>
      <c r="E124" s="990">
        <v>844978</v>
      </c>
      <c r="F124" s="991"/>
      <c r="G124" s="425">
        <v>844978</v>
      </c>
      <c r="H124" s="287">
        <v>100170.05</v>
      </c>
      <c r="I124" s="288">
        <v>100170.05</v>
      </c>
      <c r="J124" s="288">
        <v>17677.08</v>
      </c>
      <c r="K124" s="285">
        <v>17677.07</v>
      </c>
      <c r="L124" s="790"/>
      <c r="M124" s="924"/>
      <c r="N124" s="1075"/>
      <c r="O124" s="1252"/>
      <c r="P124" s="1252"/>
      <c r="Q124" s="1340"/>
      <c r="R124" s="273">
        <f>E124</f>
        <v>844978</v>
      </c>
      <c r="S124" s="921"/>
      <c r="T124" s="588"/>
      <c r="U124" s="538"/>
    </row>
    <row r="125" spans="1:21" s="92" customFormat="1" ht="16.5" customHeight="1">
      <c r="A125" s="1134"/>
      <c r="B125" s="1134"/>
      <c r="C125" s="310"/>
      <c r="D125" s="289"/>
      <c r="E125" s="992"/>
      <c r="F125" s="993"/>
      <c r="G125" s="63"/>
      <c r="H125" s="287">
        <v>3987.23</v>
      </c>
      <c r="I125" s="288">
        <v>3987.23</v>
      </c>
      <c r="J125" s="288">
        <v>703.64</v>
      </c>
      <c r="K125" s="285">
        <v>703.63</v>
      </c>
      <c r="L125" s="790"/>
      <c r="M125" s="924"/>
      <c r="N125" s="1075"/>
      <c r="O125" s="1252"/>
      <c r="P125" s="1252"/>
      <c r="Q125" s="315"/>
      <c r="R125" s="273"/>
      <c r="S125" s="921"/>
      <c r="T125" s="1251">
        <f>(E148-N148)/E148*100/9</f>
        <v>3.9099433541775546</v>
      </c>
      <c r="U125" s="538"/>
    </row>
    <row r="126" spans="1:21" s="92" customFormat="1" ht="13.5" thickBot="1">
      <c r="A126" s="1090"/>
      <c r="B126" s="1090"/>
      <c r="C126" s="307"/>
      <c r="D126" s="309"/>
      <c r="E126" s="982"/>
      <c r="F126" s="983"/>
      <c r="G126" s="421"/>
      <c r="H126" s="307">
        <v>93356.74</v>
      </c>
      <c r="I126" s="308">
        <v>93355.79</v>
      </c>
      <c r="J126" s="308">
        <v>16474.79</v>
      </c>
      <c r="K126" s="309">
        <v>16474.81</v>
      </c>
      <c r="L126" s="766"/>
      <c r="M126" s="927"/>
      <c r="N126" s="1076"/>
      <c r="O126" s="1253"/>
      <c r="P126" s="1253"/>
      <c r="Q126" s="524"/>
      <c r="R126" s="525"/>
      <c r="S126" s="922"/>
      <c r="T126" s="1253"/>
      <c r="U126" s="538"/>
    </row>
    <row r="127" spans="1:21" s="92" customFormat="1" ht="12.75">
      <c r="A127" s="1133" t="s">
        <v>163</v>
      </c>
      <c r="B127" s="1097" t="s">
        <v>164</v>
      </c>
      <c r="C127" s="265">
        <f>(125016+125016)</f>
        <v>250032</v>
      </c>
      <c r="D127" s="267">
        <f>(22061.5+22061.5)</f>
        <v>44123</v>
      </c>
      <c r="E127" s="265">
        <v>250032</v>
      </c>
      <c r="F127" s="267">
        <v>44123</v>
      </c>
      <c r="G127" s="317">
        <v>294155</v>
      </c>
      <c r="H127" s="265">
        <v>27946.72</v>
      </c>
      <c r="I127" s="266">
        <v>27946.72</v>
      </c>
      <c r="J127" s="266">
        <v>4931.78</v>
      </c>
      <c r="K127" s="267">
        <v>4931.78</v>
      </c>
      <c r="L127" s="789">
        <f>SUM(H127:K131)</f>
        <v>279447.2500000001</v>
      </c>
      <c r="M127" s="923">
        <f>L127/E128*100</f>
        <v>95.00000000000004</v>
      </c>
      <c r="N127" s="1160">
        <f>137466+13855</f>
        <v>151321</v>
      </c>
      <c r="O127" s="1035">
        <f>N127/E127*100</f>
        <v>60.52065335637038</v>
      </c>
      <c r="P127" s="1035">
        <f>53930+41768*2+6928+6927</f>
        <v>151321</v>
      </c>
      <c r="Q127" s="1386">
        <f>P127/E127*100</f>
        <v>60.52065335637038</v>
      </c>
      <c r="R127" s="611">
        <f>E127+F127</f>
        <v>294155</v>
      </c>
      <c r="S127" s="920">
        <f>P127/E127*100</f>
        <v>60.52065335637038</v>
      </c>
      <c r="T127" s="588"/>
      <c r="U127" s="538"/>
    </row>
    <row r="128" spans="1:21" s="92" customFormat="1" ht="13.5" thickBot="1">
      <c r="A128" s="1134"/>
      <c r="B128" s="1059"/>
      <c r="C128" s="1024">
        <f>C127+D127</f>
        <v>294155</v>
      </c>
      <c r="D128" s="1025"/>
      <c r="E128" s="990">
        <v>294155</v>
      </c>
      <c r="F128" s="991"/>
      <c r="G128" s="421">
        <v>294155</v>
      </c>
      <c r="H128" s="287">
        <v>38635.05</v>
      </c>
      <c r="I128" s="288">
        <v>38635.05</v>
      </c>
      <c r="J128" s="288">
        <v>6817.95</v>
      </c>
      <c r="K128" s="285">
        <v>6817.95</v>
      </c>
      <c r="L128" s="790"/>
      <c r="M128" s="924"/>
      <c r="N128" s="1161"/>
      <c r="O128" s="1036"/>
      <c r="P128" s="1036"/>
      <c r="Q128" s="1387"/>
      <c r="R128" s="612">
        <f>E128</f>
        <v>294155</v>
      </c>
      <c r="S128" s="921"/>
      <c r="T128" s="588"/>
      <c r="U128" s="538"/>
    </row>
    <row r="129" spans="1:21" s="92" customFormat="1" ht="13.5" thickBot="1">
      <c r="A129" s="1134"/>
      <c r="B129" s="1059"/>
      <c r="C129" s="598"/>
      <c r="D129" s="608"/>
      <c r="E129" s="992"/>
      <c r="F129" s="993"/>
      <c r="G129" s="421"/>
      <c r="H129" s="287">
        <v>10389.17</v>
      </c>
      <c r="I129" s="288">
        <v>10389.17</v>
      </c>
      <c r="J129" s="288">
        <v>1833.39</v>
      </c>
      <c r="K129" s="285">
        <v>1833.38</v>
      </c>
      <c r="L129" s="790"/>
      <c r="M129" s="924"/>
      <c r="N129" s="1161"/>
      <c r="O129" s="1036"/>
      <c r="P129" s="1036"/>
      <c r="Q129" s="614"/>
      <c r="R129" s="612"/>
      <c r="S129" s="921"/>
      <c r="T129" s="588"/>
      <c r="U129" s="538"/>
    </row>
    <row r="130" spans="1:21" s="92" customFormat="1" ht="13.5" thickBot="1">
      <c r="A130" s="1134"/>
      <c r="B130" s="1059"/>
      <c r="C130" s="359"/>
      <c r="D130" s="532"/>
      <c r="E130" s="992"/>
      <c r="F130" s="993"/>
      <c r="G130" s="63"/>
      <c r="H130" s="287">
        <v>38335</v>
      </c>
      <c r="I130" s="288">
        <v>38335</v>
      </c>
      <c r="J130" s="288">
        <v>6765</v>
      </c>
      <c r="K130" s="285">
        <v>6765</v>
      </c>
      <c r="L130" s="790"/>
      <c r="M130" s="924"/>
      <c r="N130" s="1161"/>
      <c r="O130" s="1036"/>
      <c r="P130" s="1036"/>
      <c r="Q130" s="537"/>
      <c r="R130" s="680"/>
      <c r="S130" s="921"/>
      <c r="T130" s="588"/>
      <c r="U130" s="538"/>
    </row>
    <row r="131" spans="1:21" s="93" customFormat="1" ht="23.25" customHeight="1" thickBot="1">
      <c r="A131" s="1090"/>
      <c r="B131" s="1060"/>
      <c r="C131" s="359"/>
      <c r="D131" s="532"/>
      <c r="E131" s="982"/>
      <c r="F131" s="983"/>
      <c r="G131" s="63"/>
      <c r="H131" s="282">
        <v>3459.13</v>
      </c>
      <c r="I131" s="283">
        <v>3459.13</v>
      </c>
      <c r="J131" s="283">
        <v>610.44</v>
      </c>
      <c r="K131" s="284">
        <v>610.44</v>
      </c>
      <c r="L131" s="766"/>
      <c r="M131" s="927"/>
      <c r="N131" s="1126"/>
      <c r="O131" s="1027"/>
      <c r="P131" s="1027"/>
      <c r="Q131" s="537"/>
      <c r="R131" s="680"/>
      <c r="S131" s="922"/>
      <c r="T131" s="1348">
        <f>(E153-N153)/E153*100/9</f>
        <v>3.9084328101705705</v>
      </c>
      <c r="U131" s="363"/>
    </row>
    <row r="132" spans="1:21" s="93" customFormat="1" ht="27" customHeight="1" thickBot="1">
      <c r="A132" s="1133" t="s">
        <v>251</v>
      </c>
      <c r="B132" s="1133" t="s">
        <v>296</v>
      </c>
      <c r="C132" s="310">
        <v>250233</v>
      </c>
      <c r="D132" s="289">
        <v>44159</v>
      </c>
      <c r="E132" s="310">
        <v>250233</v>
      </c>
      <c r="F132" s="289">
        <v>44159</v>
      </c>
      <c r="G132" s="427">
        <v>294392</v>
      </c>
      <c r="H132" s="265">
        <v>0</v>
      </c>
      <c r="I132" s="266">
        <v>100092.6</v>
      </c>
      <c r="J132" s="266">
        <v>0</v>
      </c>
      <c r="K132" s="267">
        <v>17663.4</v>
      </c>
      <c r="L132" s="1262">
        <f>SUM(H132:K136)</f>
        <v>279672.4</v>
      </c>
      <c r="M132" s="920">
        <v>40</v>
      </c>
      <c r="N132" s="1077">
        <f>28646+59389+32390+31026</f>
        <v>151451</v>
      </c>
      <c r="O132" s="1251">
        <f>N132/E132*100</f>
        <v>60.52399163979172</v>
      </c>
      <c r="P132" s="1077">
        <f>88035+32390+31026</f>
        <v>151451</v>
      </c>
      <c r="Q132" s="537"/>
      <c r="R132" s="538">
        <f>E132+F132</f>
        <v>294392</v>
      </c>
      <c r="S132" s="920">
        <f>P132/E132*100</f>
        <v>60.52399163979172</v>
      </c>
      <c r="T132" s="1349"/>
      <c r="U132" s="363"/>
    </row>
    <row r="133" spans="1:21" s="93" customFormat="1" ht="22.5" customHeight="1" thickBot="1">
      <c r="A133" s="1134"/>
      <c r="B133" s="1134"/>
      <c r="C133" s="1296">
        <f>C132+D132</f>
        <v>294392</v>
      </c>
      <c r="D133" s="1297"/>
      <c r="E133" s="990">
        <v>294392</v>
      </c>
      <c r="F133" s="991"/>
      <c r="G133" s="115">
        <v>294392</v>
      </c>
      <c r="H133" s="287">
        <v>0</v>
      </c>
      <c r="I133" s="288">
        <v>28646.84</v>
      </c>
      <c r="J133" s="288">
        <v>0</v>
      </c>
      <c r="K133" s="285">
        <v>5055.33</v>
      </c>
      <c r="L133" s="1255"/>
      <c r="M133" s="921"/>
      <c r="N133" s="1075"/>
      <c r="O133" s="1252"/>
      <c r="P133" s="1075"/>
      <c r="Q133" s="537"/>
      <c r="R133" s="538">
        <f>E133</f>
        <v>294392</v>
      </c>
      <c r="S133" s="921"/>
      <c r="T133" s="588"/>
      <c r="U133" s="363"/>
    </row>
    <row r="134" spans="1:21" s="93" customFormat="1" ht="22.5" customHeight="1" thickBot="1">
      <c r="A134" s="1134"/>
      <c r="B134" s="1134"/>
      <c r="C134" s="704"/>
      <c r="D134" s="355"/>
      <c r="E134" s="992"/>
      <c r="F134" s="993"/>
      <c r="G134" s="115"/>
      <c r="H134" s="287">
        <v>0</v>
      </c>
      <c r="I134" s="288">
        <v>59387.65</v>
      </c>
      <c r="J134" s="288">
        <v>0</v>
      </c>
      <c r="K134" s="285">
        <v>10480.17</v>
      </c>
      <c r="L134" s="1255"/>
      <c r="M134" s="921"/>
      <c r="N134" s="1075"/>
      <c r="O134" s="1252"/>
      <c r="P134" s="1075"/>
      <c r="Q134" s="537"/>
      <c r="R134" s="538"/>
      <c r="S134" s="921"/>
      <c r="T134" s="588"/>
      <c r="U134" s="363"/>
    </row>
    <row r="135" spans="1:21" s="93" customFormat="1" ht="19.5" customHeight="1">
      <c r="A135" s="1134"/>
      <c r="B135" s="1134"/>
      <c r="C135" s="704"/>
      <c r="D135" s="355"/>
      <c r="E135" s="992"/>
      <c r="F135" s="993"/>
      <c r="G135" s="115"/>
      <c r="H135" s="287">
        <v>0</v>
      </c>
      <c r="I135" s="288">
        <v>32388.53</v>
      </c>
      <c r="J135" s="288">
        <v>0</v>
      </c>
      <c r="K135" s="285">
        <v>5715.62</v>
      </c>
      <c r="L135" s="1255"/>
      <c r="M135" s="921"/>
      <c r="N135" s="1075"/>
      <c r="O135" s="1252"/>
      <c r="P135" s="1075"/>
      <c r="Q135" s="537"/>
      <c r="R135" s="538"/>
      <c r="S135" s="921"/>
      <c r="T135" s="1348">
        <f>(E203-N203)/E203*100/9</f>
        <v>3.4229237751022423</v>
      </c>
      <c r="U135" s="363"/>
    </row>
    <row r="136" spans="1:21" s="93" customFormat="1" ht="19.5" customHeight="1" thickBot="1">
      <c r="A136" s="1128"/>
      <c r="B136" s="1128"/>
      <c r="C136" s="704"/>
      <c r="D136" s="355"/>
      <c r="E136" s="994"/>
      <c r="F136" s="995"/>
      <c r="G136" s="115"/>
      <c r="H136" s="710">
        <v>0</v>
      </c>
      <c r="I136" s="711">
        <v>17205.73</v>
      </c>
      <c r="J136" s="711">
        <v>0</v>
      </c>
      <c r="K136" s="712">
        <v>3036.53</v>
      </c>
      <c r="L136" s="901"/>
      <c r="M136" s="901"/>
      <c r="N136" s="1078"/>
      <c r="O136" s="901"/>
      <c r="P136" s="1078"/>
      <c r="Q136" s="537"/>
      <c r="R136" s="538"/>
      <c r="S136" s="901"/>
      <c r="T136" s="1361"/>
      <c r="U136" s="363"/>
    </row>
    <row r="137" spans="1:21" s="93" customFormat="1" ht="19.5" customHeight="1" thickBot="1">
      <c r="A137" s="1133" t="s">
        <v>144</v>
      </c>
      <c r="B137" s="1133" t="s">
        <v>219</v>
      </c>
      <c r="C137" s="265">
        <f>458742+458741</f>
        <v>917483</v>
      </c>
      <c r="D137" s="267">
        <f>80954.5*2</f>
        <v>161909</v>
      </c>
      <c r="E137" s="265">
        <v>917483</v>
      </c>
      <c r="F137" s="267">
        <v>161909</v>
      </c>
      <c r="G137" s="317">
        <v>1079392</v>
      </c>
      <c r="H137" s="265">
        <v>761.8</v>
      </c>
      <c r="I137" s="266">
        <v>761.8</v>
      </c>
      <c r="J137" s="266">
        <v>134.43</v>
      </c>
      <c r="K137" s="267">
        <v>134.43</v>
      </c>
      <c r="L137" s="789">
        <f>SUM(H137:K147)</f>
        <v>861499.16</v>
      </c>
      <c r="M137" s="923">
        <f>SUM(H137:K140)/E138*100</f>
        <v>15.603429523287184</v>
      </c>
      <c r="N137" s="1160">
        <f>7342+58673+83233+217224+217223</f>
        <v>583695</v>
      </c>
      <c r="O137" s="1035">
        <f>N137/E137*100</f>
        <v>63.61916242589781</v>
      </c>
      <c r="P137" s="1035">
        <f>149248+217223+217224</f>
        <v>583695</v>
      </c>
      <c r="Q137" s="537"/>
      <c r="R137" s="538">
        <f>E137+F137</f>
        <v>1079392</v>
      </c>
      <c r="S137" s="923">
        <f>P137/E137*100</f>
        <v>63.61916242589781</v>
      </c>
      <c r="T137" s="1349"/>
      <c r="U137" s="363"/>
    </row>
    <row r="138" spans="1:21" s="93" customFormat="1" ht="19.5" customHeight="1">
      <c r="A138" s="1134"/>
      <c r="B138" s="1134"/>
      <c r="C138" s="1119">
        <f>C137+D137</f>
        <v>1079392</v>
      </c>
      <c r="D138" s="1120"/>
      <c r="E138" s="1065">
        <v>1079392</v>
      </c>
      <c r="F138" s="1065"/>
      <c r="G138" s="63">
        <v>1079392</v>
      </c>
      <c r="H138" s="287">
        <v>27796.76</v>
      </c>
      <c r="I138" s="288">
        <v>27796.76</v>
      </c>
      <c r="J138" s="288">
        <v>4905.31</v>
      </c>
      <c r="K138" s="285">
        <v>4905.31</v>
      </c>
      <c r="L138" s="790"/>
      <c r="M138" s="924"/>
      <c r="N138" s="1161"/>
      <c r="O138" s="1036"/>
      <c r="P138" s="1036"/>
      <c r="Q138" s="537"/>
      <c r="R138" s="538">
        <f>E138</f>
        <v>1079392</v>
      </c>
      <c r="S138" s="924"/>
      <c r="T138" s="588"/>
      <c r="U138" s="363"/>
    </row>
    <row r="139" spans="1:21" s="93" customFormat="1" ht="19.5" customHeight="1">
      <c r="A139" s="1134"/>
      <c r="B139" s="1134"/>
      <c r="C139" s="1121"/>
      <c r="D139" s="1122"/>
      <c r="E139" s="1058"/>
      <c r="F139" s="1058"/>
      <c r="G139" s="63"/>
      <c r="H139" s="398">
        <v>2909.64</v>
      </c>
      <c r="I139" s="399">
        <v>2909.64</v>
      </c>
      <c r="J139" s="399">
        <v>513.47</v>
      </c>
      <c r="K139" s="285">
        <v>513.47</v>
      </c>
      <c r="L139" s="790"/>
      <c r="M139" s="924"/>
      <c r="N139" s="1161"/>
      <c r="O139" s="1036"/>
      <c r="P139" s="1036"/>
      <c r="Q139" s="537"/>
      <c r="R139" s="538"/>
      <c r="S139" s="924"/>
      <c r="T139" s="588"/>
      <c r="U139" s="363"/>
    </row>
    <row r="140" spans="1:21" s="93" customFormat="1" ht="19.5" customHeight="1" thickBot="1">
      <c r="A140" s="1134"/>
      <c r="B140" s="1134"/>
      <c r="C140" s="1267"/>
      <c r="D140" s="1268"/>
      <c r="E140" s="1058"/>
      <c r="F140" s="1058"/>
      <c r="G140" s="63"/>
      <c r="H140" s="398">
        <v>40111.22</v>
      </c>
      <c r="I140" s="399">
        <v>40111.22</v>
      </c>
      <c r="J140" s="399">
        <v>7078.46</v>
      </c>
      <c r="K140" s="285">
        <v>7078.45</v>
      </c>
      <c r="L140" s="790"/>
      <c r="M140" s="924"/>
      <c r="N140" s="1161"/>
      <c r="O140" s="1036"/>
      <c r="P140" s="1036"/>
      <c r="Q140" s="537"/>
      <c r="R140" s="538"/>
      <c r="S140" s="924"/>
      <c r="T140" s="588"/>
      <c r="U140" s="363"/>
    </row>
    <row r="141" spans="1:21" s="93" customFormat="1" ht="18.75" customHeight="1">
      <c r="A141" s="1134"/>
      <c r="B141" s="1134"/>
      <c r="C141" s="582"/>
      <c r="D141" s="584"/>
      <c r="E141" s="1058"/>
      <c r="F141" s="1058"/>
      <c r="G141" s="63"/>
      <c r="H141" s="398">
        <v>1539.54</v>
      </c>
      <c r="I141" s="399">
        <v>1539.54</v>
      </c>
      <c r="J141" s="399">
        <v>271.69</v>
      </c>
      <c r="K141" s="285">
        <v>271.68</v>
      </c>
      <c r="L141" s="790"/>
      <c r="M141" s="924"/>
      <c r="N141" s="1161"/>
      <c r="O141" s="1036"/>
      <c r="P141" s="1036"/>
      <c r="Q141" s="537"/>
      <c r="R141" s="538"/>
      <c r="S141" s="924"/>
      <c r="T141" s="1350">
        <f>(E114-N114)/E114*100/9</f>
        <v>4.589161433585931</v>
      </c>
      <c r="U141" s="363"/>
    </row>
    <row r="142" spans="1:21" s="93" customFormat="1" ht="22.5" customHeight="1" thickBot="1">
      <c r="A142" s="1134"/>
      <c r="B142" s="1134"/>
      <c r="C142" s="582"/>
      <c r="D142" s="584"/>
      <c r="E142" s="1058"/>
      <c r="F142" s="1058"/>
      <c r="G142" s="63"/>
      <c r="H142" s="398">
        <v>84200.91</v>
      </c>
      <c r="I142" s="399">
        <v>84200.91</v>
      </c>
      <c r="J142" s="399">
        <v>14859</v>
      </c>
      <c r="K142" s="285">
        <v>14858.99</v>
      </c>
      <c r="L142" s="790"/>
      <c r="M142" s="924"/>
      <c r="N142" s="1161"/>
      <c r="O142" s="1036"/>
      <c r="P142" s="1036"/>
      <c r="Q142" s="537"/>
      <c r="R142" s="538"/>
      <c r="S142" s="924"/>
      <c r="T142" s="1351"/>
      <c r="U142" s="363"/>
    </row>
    <row r="143" spans="1:21" s="93" customFormat="1" ht="22.5" customHeight="1">
      <c r="A143" s="1063"/>
      <c r="B143" s="1063"/>
      <c r="C143" s="582"/>
      <c r="D143" s="584"/>
      <c r="E143" s="1282"/>
      <c r="F143" s="1282"/>
      <c r="G143" s="63"/>
      <c r="H143" s="398">
        <v>1505.52</v>
      </c>
      <c r="I143" s="399">
        <v>1505.52</v>
      </c>
      <c r="J143" s="399">
        <v>265.68</v>
      </c>
      <c r="K143" s="285">
        <v>265.68</v>
      </c>
      <c r="L143" s="1294"/>
      <c r="M143" s="1294"/>
      <c r="N143" s="1064"/>
      <c r="O143" s="1294"/>
      <c r="P143" s="1294"/>
      <c r="Q143" s="537"/>
      <c r="R143" s="538"/>
      <c r="S143" s="1294"/>
      <c r="T143" s="590"/>
      <c r="U143" s="363"/>
    </row>
    <row r="144" spans="1:21" s="93" customFormat="1" ht="22.5" customHeight="1">
      <c r="A144" s="1063"/>
      <c r="B144" s="1063"/>
      <c r="C144" s="582"/>
      <c r="D144" s="584"/>
      <c r="E144" s="1282"/>
      <c r="F144" s="1282"/>
      <c r="G144" s="63"/>
      <c r="H144" s="398">
        <v>131251.87</v>
      </c>
      <c r="I144" s="399">
        <v>131251.87</v>
      </c>
      <c r="J144" s="399">
        <v>23162.1</v>
      </c>
      <c r="K144" s="285">
        <v>23162.1</v>
      </c>
      <c r="L144" s="1294"/>
      <c r="M144" s="1294"/>
      <c r="N144" s="1064"/>
      <c r="O144" s="1294"/>
      <c r="P144" s="1294"/>
      <c r="Q144" s="537"/>
      <c r="R144" s="538"/>
      <c r="S144" s="1294"/>
      <c r="T144" s="590"/>
      <c r="U144" s="363"/>
    </row>
    <row r="145" spans="1:21" s="93" customFormat="1" ht="22.5" customHeight="1" thickBot="1">
      <c r="A145" s="1063"/>
      <c r="B145" s="1063"/>
      <c r="C145" s="582"/>
      <c r="D145" s="584"/>
      <c r="E145" s="1282"/>
      <c r="F145" s="1282"/>
      <c r="G145" s="63"/>
      <c r="H145" s="398">
        <v>1770.53</v>
      </c>
      <c r="I145" s="399">
        <v>1770.53</v>
      </c>
      <c r="J145" s="399">
        <v>312.46</v>
      </c>
      <c r="K145" s="285">
        <v>312.45</v>
      </c>
      <c r="L145" s="1294"/>
      <c r="M145" s="1294"/>
      <c r="N145" s="1064"/>
      <c r="O145" s="1294"/>
      <c r="P145" s="1294"/>
      <c r="Q145" s="537"/>
      <c r="R145" s="538"/>
      <c r="S145" s="1294"/>
      <c r="T145" s="590"/>
      <c r="U145" s="363"/>
    </row>
    <row r="146" spans="1:21" s="91" customFormat="1" ht="23.25" customHeight="1">
      <c r="A146" s="1063"/>
      <c r="B146" s="1063"/>
      <c r="C146" s="582"/>
      <c r="D146" s="584"/>
      <c r="E146" s="1282"/>
      <c r="F146" s="1282"/>
      <c r="G146" s="63"/>
      <c r="H146" s="398">
        <v>31125.31</v>
      </c>
      <c r="I146" s="399">
        <v>31125.31</v>
      </c>
      <c r="J146" s="399">
        <v>5492.71</v>
      </c>
      <c r="K146" s="285">
        <v>5492.7</v>
      </c>
      <c r="L146" s="1294"/>
      <c r="M146" s="1294"/>
      <c r="N146" s="1064"/>
      <c r="O146" s="1294"/>
      <c r="P146" s="1294"/>
      <c r="Q146" s="537"/>
      <c r="R146" s="538"/>
      <c r="S146" s="1294"/>
      <c r="T146" s="1348">
        <f>(E275-N275)/E275*100/9</f>
        <v>2.093670853426078</v>
      </c>
      <c r="U146" s="292"/>
    </row>
    <row r="147" spans="1:21" s="91" customFormat="1" ht="23.25" customHeight="1" thickBot="1">
      <c r="A147" s="1128"/>
      <c r="B147" s="1128"/>
      <c r="C147" s="582"/>
      <c r="D147" s="584"/>
      <c r="E147" s="1107"/>
      <c r="F147" s="1107"/>
      <c r="G147" s="63"/>
      <c r="H147" s="359">
        <v>43164.01</v>
      </c>
      <c r="I147" s="355">
        <v>43164.01</v>
      </c>
      <c r="J147" s="355">
        <v>7617.19</v>
      </c>
      <c r="K147" s="284">
        <v>7617.18</v>
      </c>
      <c r="L147" s="1157"/>
      <c r="M147" s="1157"/>
      <c r="N147" s="1132"/>
      <c r="O147" s="1157"/>
      <c r="P147" s="1157"/>
      <c r="Q147" s="537"/>
      <c r="R147" s="538"/>
      <c r="S147" s="1157"/>
      <c r="T147" s="1361"/>
      <c r="U147" s="292"/>
    </row>
    <row r="148" spans="1:21" s="91" customFormat="1" ht="23.25" customHeight="1" thickBot="1">
      <c r="A148" s="1133" t="s">
        <v>146</v>
      </c>
      <c r="B148" s="1133" t="s">
        <v>147</v>
      </c>
      <c r="C148" s="287">
        <v>628898</v>
      </c>
      <c r="D148" s="285">
        <v>69878</v>
      </c>
      <c r="E148" s="266">
        <v>628898</v>
      </c>
      <c r="F148" s="313">
        <v>69878</v>
      </c>
      <c r="G148" s="317">
        <v>698776</v>
      </c>
      <c r="H148" s="265">
        <v>88749</v>
      </c>
      <c r="I148" s="266">
        <v>88749</v>
      </c>
      <c r="J148" s="266">
        <v>9861</v>
      </c>
      <c r="K148" s="267">
        <v>9861</v>
      </c>
      <c r="L148" s="789">
        <f>SUM(H148:K152)</f>
        <v>663837.2</v>
      </c>
      <c r="M148" s="923">
        <f>L148/E149*100</f>
        <v>95</v>
      </c>
      <c r="N148" s="1160">
        <f>212700+22247*2+75199*2</f>
        <v>407592</v>
      </c>
      <c r="O148" s="1035">
        <f>N148/E148*100</f>
        <v>64.810509812402</v>
      </c>
      <c r="P148" s="1035">
        <f>212700+22247*2+75199*2</f>
        <v>407592</v>
      </c>
      <c r="Q148" s="1302">
        <f>P148/E148*100</f>
        <v>64.810509812402</v>
      </c>
      <c r="R148" s="538">
        <f>E148+F148</f>
        <v>698776</v>
      </c>
      <c r="S148" s="923">
        <f>P148/E148*100</f>
        <v>64.810509812402</v>
      </c>
      <c r="T148" s="1349"/>
      <c r="U148" s="292"/>
    </row>
    <row r="149" spans="1:21" s="91" customFormat="1" ht="23.25" customHeight="1">
      <c r="A149" s="1134"/>
      <c r="B149" s="1449"/>
      <c r="C149" s="1337">
        <f>C148+D148</f>
        <v>698776</v>
      </c>
      <c r="D149" s="1338"/>
      <c r="E149" s="1119">
        <v>698776</v>
      </c>
      <c r="F149" s="1065"/>
      <c r="G149" s="748">
        <v>698776</v>
      </c>
      <c r="H149" s="287">
        <v>71710.6</v>
      </c>
      <c r="I149" s="288">
        <v>71710.6</v>
      </c>
      <c r="J149" s="288">
        <v>7967.86</v>
      </c>
      <c r="K149" s="285">
        <v>7967.85</v>
      </c>
      <c r="L149" s="1298"/>
      <c r="M149" s="924"/>
      <c r="N149" s="1161"/>
      <c r="O149" s="1036"/>
      <c r="P149" s="1036"/>
      <c r="Q149" s="1313"/>
      <c r="R149" s="538">
        <f>E149</f>
        <v>698776</v>
      </c>
      <c r="S149" s="924"/>
      <c r="T149" s="588"/>
      <c r="U149" s="292"/>
    </row>
    <row r="150" spans="1:21" s="91" customFormat="1" ht="23.25" customHeight="1">
      <c r="A150" s="1063"/>
      <c r="B150" s="1063"/>
      <c r="C150" s="282"/>
      <c r="D150" s="532"/>
      <c r="E150" s="1281"/>
      <c r="F150" s="1282"/>
      <c r="G150" s="63"/>
      <c r="H150" s="287">
        <v>23947.56</v>
      </c>
      <c r="I150" s="288">
        <v>23947.56</v>
      </c>
      <c r="J150" s="288">
        <v>2660.84</v>
      </c>
      <c r="K150" s="285">
        <v>2660.84</v>
      </c>
      <c r="L150" s="1294"/>
      <c r="M150" s="1294"/>
      <c r="N150" s="1064"/>
      <c r="O150" s="1295"/>
      <c r="P150" s="1295"/>
      <c r="Q150" s="537"/>
      <c r="R150" s="538"/>
      <c r="S150" s="1295"/>
      <c r="T150" s="588"/>
      <c r="U150" s="292"/>
    </row>
    <row r="151" spans="1:21" s="93" customFormat="1" ht="21" customHeight="1">
      <c r="A151" s="1063"/>
      <c r="B151" s="1063"/>
      <c r="C151" s="282"/>
      <c r="D151" s="532"/>
      <c r="E151" s="1281"/>
      <c r="F151" s="1282"/>
      <c r="G151" s="63"/>
      <c r="H151" s="287">
        <v>26891.43</v>
      </c>
      <c r="I151" s="288">
        <v>26891.43</v>
      </c>
      <c r="J151" s="288">
        <v>2987.94</v>
      </c>
      <c r="K151" s="285">
        <v>2987.94</v>
      </c>
      <c r="L151" s="1294"/>
      <c r="M151" s="1294"/>
      <c r="N151" s="1064"/>
      <c r="O151" s="1295"/>
      <c r="P151" s="1295"/>
      <c r="Q151" s="537"/>
      <c r="R151" s="538"/>
      <c r="S151" s="1295"/>
      <c r="T151" s="1357">
        <f>(E132-N132)/E132*100/9</f>
        <v>4.386223151134255</v>
      </c>
      <c r="U151" s="363"/>
    </row>
    <row r="152" spans="1:21" s="93" customFormat="1" ht="26.25" customHeight="1" thickBot="1">
      <c r="A152" s="1128"/>
      <c r="B152" s="1128"/>
      <c r="C152" s="282"/>
      <c r="D152" s="532"/>
      <c r="E152" s="1146"/>
      <c r="F152" s="1107"/>
      <c r="G152" s="63"/>
      <c r="H152" s="282">
        <v>87427.96</v>
      </c>
      <c r="I152" s="283">
        <v>87427.96</v>
      </c>
      <c r="J152" s="283">
        <v>9714.41</v>
      </c>
      <c r="K152" s="284">
        <v>9714.42</v>
      </c>
      <c r="L152" s="1157"/>
      <c r="M152" s="1157"/>
      <c r="N152" s="1132"/>
      <c r="O152" s="1157"/>
      <c r="P152" s="1157"/>
      <c r="Q152" s="537"/>
      <c r="R152" s="538"/>
      <c r="S152" s="1157"/>
      <c r="T152" s="1358"/>
      <c r="U152" s="363"/>
    </row>
    <row r="153" spans="1:21" s="93" customFormat="1" ht="26.25" customHeight="1">
      <c r="A153" s="1133" t="s">
        <v>181</v>
      </c>
      <c r="B153" s="1097" t="s">
        <v>182</v>
      </c>
      <c r="C153" s="265">
        <f>158077*2</f>
        <v>316154</v>
      </c>
      <c r="D153" s="267">
        <f>27896*2</f>
        <v>55792</v>
      </c>
      <c r="E153" s="265">
        <v>316154</v>
      </c>
      <c r="F153" s="267">
        <v>55792</v>
      </c>
      <c r="G153" s="317">
        <v>371946</v>
      </c>
      <c r="H153" s="265">
        <v>63230.65</v>
      </c>
      <c r="I153" s="266">
        <v>63230.65</v>
      </c>
      <c r="J153" s="266">
        <v>11158.35</v>
      </c>
      <c r="K153" s="267">
        <v>11158.35</v>
      </c>
      <c r="L153" s="789">
        <f>SUM(H153:K156)</f>
        <v>353348.69999999995</v>
      </c>
      <c r="M153" s="923">
        <f>L153/E154*100</f>
        <v>94.99999999999999</v>
      </c>
      <c r="N153" s="1077">
        <v>204944</v>
      </c>
      <c r="O153" s="1251">
        <f>N153/E153*100</f>
        <v>64.82410470846486</v>
      </c>
      <c r="P153" s="1251">
        <f>119330+5597+5596+37210+37211</f>
        <v>204944</v>
      </c>
      <c r="Q153" s="1304">
        <f>P153/E153*100</f>
        <v>64.82410470846486</v>
      </c>
      <c r="R153" s="523">
        <f>E153+F153</f>
        <v>371946</v>
      </c>
      <c r="S153" s="920">
        <f>P153/E153*100</f>
        <v>64.82410470846486</v>
      </c>
      <c r="T153" s="590"/>
      <c r="U153" s="363"/>
    </row>
    <row r="154" spans="1:21" s="93" customFormat="1" ht="26.25" customHeight="1" thickBot="1">
      <c r="A154" s="1134"/>
      <c r="B154" s="1059"/>
      <c r="C154" s="1024">
        <f>C153+D153</f>
        <v>371946</v>
      </c>
      <c r="D154" s="1025"/>
      <c r="E154" s="990">
        <v>371946</v>
      </c>
      <c r="F154" s="991"/>
      <c r="G154" s="421">
        <v>371946</v>
      </c>
      <c r="H154" s="287">
        <v>20334.97</v>
      </c>
      <c r="I154" s="288">
        <v>20334.97</v>
      </c>
      <c r="J154" s="288">
        <v>3588.53</v>
      </c>
      <c r="K154" s="285">
        <v>3588.53</v>
      </c>
      <c r="L154" s="790"/>
      <c r="M154" s="924"/>
      <c r="N154" s="1075"/>
      <c r="O154" s="1252"/>
      <c r="P154" s="1252"/>
      <c r="Q154" s="1307"/>
      <c r="R154" s="525">
        <f>E154</f>
        <v>371946</v>
      </c>
      <c r="S154" s="921"/>
      <c r="T154" s="590"/>
      <c r="U154" s="363"/>
    </row>
    <row r="155" spans="1:21" s="93" customFormat="1" ht="26.25" customHeight="1" thickBot="1">
      <c r="A155" s="1134"/>
      <c r="B155" s="1059"/>
      <c r="C155" s="359"/>
      <c r="D155" s="532"/>
      <c r="E155" s="992"/>
      <c r="F155" s="993"/>
      <c r="G155" s="63"/>
      <c r="H155" s="287">
        <v>27339.11</v>
      </c>
      <c r="I155" s="288">
        <v>27339.11</v>
      </c>
      <c r="J155" s="288">
        <v>4824.55</v>
      </c>
      <c r="K155" s="285">
        <v>4824.55</v>
      </c>
      <c r="L155" s="790"/>
      <c r="M155" s="924"/>
      <c r="N155" s="1075"/>
      <c r="O155" s="1252"/>
      <c r="P155" s="1252"/>
      <c r="Q155" s="315"/>
      <c r="R155" s="273"/>
      <c r="S155" s="921"/>
      <c r="T155" s="590"/>
      <c r="U155" s="363"/>
    </row>
    <row r="156" spans="1:21" s="93" customFormat="1" ht="18.75" customHeight="1" thickBot="1">
      <c r="A156" s="1090"/>
      <c r="B156" s="1060"/>
      <c r="C156" s="359"/>
      <c r="D156" s="532"/>
      <c r="E156" s="982"/>
      <c r="F156" s="983"/>
      <c r="G156" s="63"/>
      <c r="H156" s="282">
        <v>39268.46</v>
      </c>
      <c r="I156" s="283">
        <v>39268.46</v>
      </c>
      <c r="J156" s="283">
        <v>6929.73</v>
      </c>
      <c r="K156" s="284">
        <v>6929.73</v>
      </c>
      <c r="L156" s="766"/>
      <c r="M156" s="927"/>
      <c r="N156" s="1076"/>
      <c r="O156" s="1253"/>
      <c r="P156" s="1253"/>
      <c r="Q156" s="315"/>
      <c r="R156" s="273"/>
      <c r="S156" s="922"/>
      <c r="T156" s="1350">
        <f>(E96-N96)/E96*100/9</f>
        <v>5.425730202437917</v>
      </c>
      <c r="U156" s="363"/>
    </row>
    <row r="157" spans="1:21" s="93" customFormat="1" ht="18.75" customHeight="1" thickBot="1">
      <c r="A157" s="1133" t="s">
        <v>190</v>
      </c>
      <c r="B157" s="1133" t="s">
        <v>191</v>
      </c>
      <c r="C157" s="310">
        <v>386857</v>
      </c>
      <c r="D157" s="289">
        <v>68269</v>
      </c>
      <c r="E157" s="265">
        <v>386857</v>
      </c>
      <c r="F157" s="267">
        <v>68269</v>
      </c>
      <c r="G157" s="317">
        <v>455126</v>
      </c>
      <c r="H157" s="265">
        <v>0</v>
      </c>
      <c r="I157" s="266">
        <v>154742.84</v>
      </c>
      <c r="J157" s="266">
        <v>0</v>
      </c>
      <c r="K157" s="267">
        <v>27307.56</v>
      </c>
      <c r="L157" s="789">
        <f>SUM(H157:K160)</f>
        <v>432369.7</v>
      </c>
      <c r="M157" s="923">
        <f>L157/E158*100</f>
        <v>95</v>
      </c>
      <c r="N157" s="1160">
        <v>255008</v>
      </c>
      <c r="O157" s="1035">
        <f>N157/E157*100</f>
        <v>65.91789731089266</v>
      </c>
      <c r="P157" s="1035">
        <f>4369+123511+12340+114788</f>
        <v>255008</v>
      </c>
      <c r="Q157" s="1302">
        <f>P157/E157*100</f>
        <v>65.91789731089266</v>
      </c>
      <c r="R157" s="680">
        <f>E157+F157</f>
        <v>455126</v>
      </c>
      <c r="S157" s="923">
        <f>P157/E157*100</f>
        <v>65.91789731089266</v>
      </c>
      <c r="T157" s="1351"/>
      <c r="U157" s="363"/>
    </row>
    <row r="158" spans="1:21" s="93" customFormat="1" ht="18.75" customHeight="1" thickBot="1">
      <c r="A158" s="1134"/>
      <c r="B158" s="1134"/>
      <c r="C158" s="1024">
        <f>C157+D157</f>
        <v>455126</v>
      </c>
      <c r="D158" s="1025"/>
      <c r="E158" s="1119">
        <v>455126</v>
      </c>
      <c r="F158" s="1120"/>
      <c r="G158" s="425">
        <v>455126</v>
      </c>
      <c r="H158" s="287">
        <v>0</v>
      </c>
      <c r="I158" s="288">
        <v>43260.66</v>
      </c>
      <c r="J158" s="288">
        <v>0</v>
      </c>
      <c r="K158" s="285">
        <v>7634.24</v>
      </c>
      <c r="L158" s="790"/>
      <c r="M158" s="924"/>
      <c r="N158" s="1161"/>
      <c r="O158" s="1036"/>
      <c r="P158" s="1036"/>
      <c r="Q158" s="1303"/>
      <c r="R158" s="680">
        <f>E158</f>
        <v>455126</v>
      </c>
      <c r="S158" s="924"/>
      <c r="T158" s="590"/>
      <c r="U158" s="363"/>
    </row>
    <row r="159" spans="1:21" s="93" customFormat="1" ht="18.75" customHeight="1">
      <c r="A159" s="1134"/>
      <c r="B159" s="1134"/>
      <c r="C159" s="359"/>
      <c r="D159" s="532"/>
      <c r="E159" s="1121"/>
      <c r="F159" s="1122"/>
      <c r="G159" s="63"/>
      <c r="H159" s="287">
        <v>0</v>
      </c>
      <c r="I159" s="288">
        <v>96958.17</v>
      </c>
      <c r="J159" s="288">
        <v>0</v>
      </c>
      <c r="K159" s="285">
        <v>17110.26</v>
      </c>
      <c r="L159" s="790"/>
      <c r="M159" s="924"/>
      <c r="N159" s="1161"/>
      <c r="O159" s="1036"/>
      <c r="P159" s="1036"/>
      <c r="Q159" s="537"/>
      <c r="R159" s="680"/>
      <c r="S159" s="924"/>
      <c r="T159" s="590"/>
      <c r="U159" s="363"/>
    </row>
    <row r="160" spans="1:21" s="93" customFormat="1" ht="18.75" customHeight="1" thickBot="1">
      <c r="A160" s="1090"/>
      <c r="B160" s="1090"/>
      <c r="C160" s="598"/>
      <c r="D160" s="608"/>
      <c r="E160" s="905"/>
      <c r="F160" s="906"/>
      <c r="G160" s="421"/>
      <c r="H160" s="307">
        <v>0</v>
      </c>
      <c r="I160" s="308">
        <v>72552.57</v>
      </c>
      <c r="J160" s="308">
        <v>0</v>
      </c>
      <c r="K160" s="309">
        <v>12803.4</v>
      </c>
      <c r="L160" s="766"/>
      <c r="M160" s="927"/>
      <c r="N160" s="1126"/>
      <c r="O160" s="1027"/>
      <c r="P160" s="1027"/>
      <c r="Q160" s="614"/>
      <c r="R160" s="612"/>
      <c r="S160" s="927"/>
      <c r="T160" s="590"/>
      <c r="U160" s="363"/>
    </row>
    <row r="161" spans="1:21" s="93" customFormat="1" ht="17.25" customHeight="1">
      <c r="A161" s="1133" t="s">
        <v>25</v>
      </c>
      <c r="B161" s="935" t="s">
        <v>26</v>
      </c>
      <c r="C161" s="265">
        <v>409822</v>
      </c>
      <c r="D161" s="267">
        <v>72321</v>
      </c>
      <c r="E161" s="25">
        <v>457910.26</v>
      </c>
      <c r="F161" s="20">
        <v>80807.7</v>
      </c>
      <c r="G161" s="167">
        <v>538717.96</v>
      </c>
      <c r="H161" s="25">
        <v>959.23</v>
      </c>
      <c r="I161" s="19">
        <v>959.23</v>
      </c>
      <c r="J161" s="19">
        <v>169.28</v>
      </c>
      <c r="K161" s="20">
        <v>169.28</v>
      </c>
      <c r="L161" s="789">
        <f>SUM(H161:K184)</f>
        <v>511782.06000000023</v>
      </c>
      <c r="M161" s="1035">
        <f>L161/E162*100</f>
        <v>94.99999962874827</v>
      </c>
      <c r="N161" s="1160">
        <f>260338.73+20966*2</f>
        <v>302270.73</v>
      </c>
      <c r="O161" s="1160">
        <f>N161/E161*100</f>
        <v>66.01091008530797</v>
      </c>
      <c r="P161" s="1035">
        <f>228802+15747+15746+20966*2</f>
        <v>302227</v>
      </c>
      <c r="Q161" s="1304">
        <f>P161/E161*100</f>
        <v>66.00136017917572</v>
      </c>
      <c r="R161" s="523">
        <f>E161+F161</f>
        <v>538717.96</v>
      </c>
      <c r="S161" s="923">
        <f>P161/E161*100</f>
        <v>66.00136017917572</v>
      </c>
      <c r="T161" s="1251">
        <f>(E358-N358)/E358*100/9</f>
        <v>1.2641924698186073</v>
      </c>
      <c r="U161" s="363"/>
    </row>
    <row r="162" spans="1:21" s="93" customFormat="1" ht="17.25" customHeight="1">
      <c r="A162" s="1134"/>
      <c r="B162" s="936"/>
      <c r="C162" s="990">
        <f>SUM(C161:D161)</f>
        <v>482143</v>
      </c>
      <c r="D162" s="1277"/>
      <c r="E162" s="1065">
        <v>538717.96</v>
      </c>
      <c r="F162" s="1065"/>
      <c r="G162" s="1283">
        <v>538717.96</v>
      </c>
      <c r="H162" s="34">
        <v>261.17</v>
      </c>
      <c r="I162" s="33">
        <v>261.17</v>
      </c>
      <c r="J162" s="33">
        <v>46.09</v>
      </c>
      <c r="K162" s="35">
        <v>46.09</v>
      </c>
      <c r="L162" s="790"/>
      <c r="M162" s="1036"/>
      <c r="N162" s="1161"/>
      <c r="O162" s="1161"/>
      <c r="P162" s="1036"/>
      <c r="Q162" s="1306"/>
      <c r="R162" s="273"/>
      <c r="S162" s="924"/>
      <c r="T162" s="1252"/>
      <c r="U162" s="363"/>
    </row>
    <row r="163" spans="1:21" s="93" customFormat="1" ht="17.25" customHeight="1">
      <c r="A163" s="1134"/>
      <c r="B163" s="936"/>
      <c r="C163" s="992"/>
      <c r="D163" s="1278"/>
      <c r="E163" s="1058"/>
      <c r="F163" s="1058"/>
      <c r="G163" s="1284"/>
      <c r="H163" s="12">
        <v>1376.72</v>
      </c>
      <c r="I163" s="11">
        <v>1376.72</v>
      </c>
      <c r="J163" s="11">
        <v>242.95</v>
      </c>
      <c r="K163" s="13">
        <v>242.95</v>
      </c>
      <c r="L163" s="790"/>
      <c r="M163" s="1036"/>
      <c r="N163" s="1161"/>
      <c r="O163" s="1161"/>
      <c r="P163" s="1036"/>
      <c r="Q163" s="1306"/>
      <c r="R163" s="273"/>
      <c r="S163" s="924"/>
      <c r="T163" s="1252"/>
      <c r="U163" s="363"/>
    </row>
    <row r="164" spans="1:21" s="93" customFormat="1" ht="17.25" customHeight="1">
      <c r="A164" s="1134"/>
      <c r="B164" s="936"/>
      <c r="C164" s="992"/>
      <c r="D164" s="1278"/>
      <c r="E164" s="1058"/>
      <c r="F164" s="1058"/>
      <c r="G164" s="1284"/>
      <c r="H164" s="12">
        <v>382.31</v>
      </c>
      <c r="I164" s="11">
        <v>382.31</v>
      </c>
      <c r="J164" s="11">
        <v>67.47</v>
      </c>
      <c r="K164" s="13">
        <v>67.47</v>
      </c>
      <c r="L164" s="790"/>
      <c r="M164" s="1036"/>
      <c r="N164" s="1161"/>
      <c r="O164" s="1161"/>
      <c r="P164" s="1036"/>
      <c r="Q164" s="1306"/>
      <c r="R164" s="273"/>
      <c r="S164" s="924"/>
      <c r="T164" s="1252"/>
      <c r="U164" s="363"/>
    </row>
    <row r="165" spans="1:21" s="93" customFormat="1" ht="17.25" customHeight="1">
      <c r="A165" s="1134"/>
      <c r="B165" s="936"/>
      <c r="C165" s="992"/>
      <c r="D165" s="1278"/>
      <c r="E165" s="1058"/>
      <c r="F165" s="1058"/>
      <c r="G165" s="1284"/>
      <c r="H165" s="34">
        <v>27488.96</v>
      </c>
      <c r="I165" s="33">
        <v>27488.96</v>
      </c>
      <c r="J165" s="33">
        <v>4850.99</v>
      </c>
      <c r="K165" s="35">
        <v>4850.99</v>
      </c>
      <c r="L165" s="790"/>
      <c r="M165" s="1036"/>
      <c r="N165" s="1161"/>
      <c r="O165" s="1161"/>
      <c r="P165" s="1036"/>
      <c r="Q165" s="1306"/>
      <c r="R165" s="273"/>
      <c r="S165" s="924"/>
      <c r="T165" s="1252"/>
      <c r="U165" s="363"/>
    </row>
    <row r="166" spans="1:21" s="93" customFormat="1" ht="17.25" customHeight="1">
      <c r="A166" s="1134"/>
      <c r="B166" s="936"/>
      <c r="C166" s="992"/>
      <c r="D166" s="1278"/>
      <c r="E166" s="1058"/>
      <c r="F166" s="1058"/>
      <c r="G166" s="1284"/>
      <c r="H166" s="34">
        <v>3460.84</v>
      </c>
      <c r="I166" s="33">
        <v>3460.84</v>
      </c>
      <c r="J166" s="33">
        <v>610.74</v>
      </c>
      <c r="K166" s="35">
        <v>610.74</v>
      </c>
      <c r="L166" s="790"/>
      <c r="M166" s="1036"/>
      <c r="N166" s="1161"/>
      <c r="O166" s="1161"/>
      <c r="P166" s="1036"/>
      <c r="Q166" s="1306"/>
      <c r="R166" s="273"/>
      <c r="S166" s="924"/>
      <c r="T166" s="1252"/>
      <c r="U166" s="363"/>
    </row>
    <row r="167" spans="1:21" s="93" customFormat="1" ht="17.25" customHeight="1">
      <c r="A167" s="1134"/>
      <c r="B167" s="936"/>
      <c r="C167" s="992"/>
      <c r="D167" s="1278"/>
      <c r="E167" s="1058"/>
      <c r="F167" s="1058"/>
      <c r="G167" s="1284"/>
      <c r="H167" s="34">
        <v>9481.65</v>
      </c>
      <c r="I167" s="33">
        <v>9481.65</v>
      </c>
      <c r="J167" s="33">
        <v>1673.23</v>
      </c>
      <c r="K167" s="35">
        <v>1673.23</v>
      </c>
      <c r="L167" s="790"/>
      <c r="M167" s="1036"/>
      <c r="N167" s="1161"/>
      <c r="O167" s="1161"/>
      <c r="P167" s="1036"/>
      <c r="Q167" s="1306"/>
      <c r="R167" s="273"/>
      <c r="S167" s="924"/>
      <c r="T167" s="1252"/>
      <c r="U167" s="363"/>
    </row>
    <row r="168" spans="1:21" s="93" customFormat="1" ht="17.25" customHeight="1">
      <c r="A168" s="1134"/>
      <c r="B168" s="936"/>
      <c r="C168" s="992"/>
      <c r="D168" s="1278"/>
      <c r="E168" s="1058"/>
      <c r="F168" s="1058"/>
      <c r="G168" s="1284"/>
      <c r="H168" s="34">
        <v>15558.23</v>
      </c>
      <c r="I168" s="33">
        <v>15558.23</v>
      </c>
      <c r="J168" s="33">
        <v>2745.57</v>
      </c>
      <c r="K168" s="35">
        <v>2745.57</v>
      </c>
      <c r="L168" s="790"/>
      <c r="M168" s="1036"/>
      <c r="N168" s="1161"/>
      <c r="O168" s="1161"/>
      <c r="P168" s="1036"/>
      <c r="Q168" s="1306"/>
      <c r="R168" s="273"/>
      <c r="S168" s="924"/>
      <c r="T168" s="1252"/>
      <c r="U168" s="363"/>
    </row>
    <row r="169" spans="1:21" s="93" customFormat="1" ht="17.25" customHeight="1" thickBot="1">
      <c r="A169" s="1134"/>
      <c r="B169" s="936"/>
      <c r="C169" s="992"/>
      <c r="D169" s="1278"/>
      <c r="E169" s="1058"/>
      <c r="F169" s="1058"/>
      <c r="G169" s="1284"/>
      <c r="H169" s="34">
        <v>775.89</v>
      </c>
      <c r="I169" s="33">
        <v>775.89</v>
      </c>
      <c r="J169" s="33">
        <v>136.92</v>
      </c>
      <c r="K169" s="35">
        <v>136.92</v>
      </c>
      <c r="L169" s="790"/>
      <c r="M169" s="1036"/>
      <c r="N169" s="1161"/>
      <c r="O169" s="1161"/>
      <c r="P169" s="1036"/>
      <c r="Q169" s="1307"/>
      <c r="R169" s="273"/>
      <c r="S169" s="924"/>
      <c r="T169" s="1252"/>
      <c r="U169" s="363"/>
    </row>
    <row r="170" spans="1:21" s="93" customFormat="1" ht="17.25" customHeight="1">
      <c r="A170" s="1134"/>
      <c r="B170" s="936"/>
      <c r="C170" s="992"/>
      <c r="D170" s="1278"/>
      <c r="E170" s="1058"/>
      <c r="F170" s="1058"/>
      <c r="G170" s="1284"/>
      <c r="H170" s="12">
        <v>680.17</v>
      </c>
      <c r="I170" s="11">
        <v>680.17</v>
      </c>
      <c r="J170" s="11">
        <v>120.04</v>
      </c>
      <c r="K170" s="13">
        <v>120.03</v>
      </c>
      <c r="L170" s="790"/>
      <c r="M170" s="1036"/>
      <c r="N170" s="1161"/>
      <c r="O170" s="1161"/>
      <c r="P170" s="1036"/>
      <c r="Q170" s="315"/>
      <c r="R170" s="273"/>
      <c r="S170" s="924"/>
      <c r="T170" s="1252"/>
      <c r="U170" s="363"/>
    </row>
    <row r="171" spans="1:21" s="93" customFormat="1" ht="17.25" customHeight="1" thickBot="1">
      <c r="A171" s="1134"/>
      <c r="B171" s="936"/>
      <c r="C171" s="992"/>
      <c r="D171" s="1278"/>
      <c r="E171" s="1058"/>
      <c r="F171" s="1058"/>
      <c r="G171" s="1284"/>
      <c r="H171" s="34">
        <v>775.89</v>
      </c>
      <c r="I171" s="33">
        <v>775.89</v>
      </c>
      <c r="J171" s="33">
        <v>136.92</v>
      </c>
      <c r="K171" s="35">
        <v>136.92</v>
      </c>
      <c r="L171" s="790"/>
      <c r="M171" s="1036"/>
      <c r="N171" s="1161"/>
      <c r="O171" s="1161"/>
      <c r="P171" s="1036"/>
      <c r="Q171" s="315"/>
      <c r="R171" s="273"/>
      <c r="S171" s="924"/>
      <c r="T171" s="1253"/>
      <c r="U171" s="363"/>
    </row>
    <row r="172" spans="1:21" s="93" customFormat="1" ht="17.25" customHeight="1">
      <c r="A172" s="1134"/>
      <c r="B172" s="936"/>
      <c r="C172" s="992"/>
      <c r="D172" s="1278"/>
      <c r="E172" s="1058"/>
      <c r="F172" s="1058"/>
      <c r="G172" s="1284"/>
      <c r="H172" s="34">
        <v>51009.18</v>
      </c>
      <c r="I172" s="33">
        <v>51009.18</v>
      </c>
      <c r="J172" s="33">
        <v>9001.62</v>
      </c>
      <c r="K172" s="35">
        <v>9001.62</v>
      </c>
      <c r="L172" s="790"/>
      <c r="M172" s="1036"/>
      <c r="N172" s="1161"/>
      <c r="O172" s="1161"/>
      <c r="P172" s="1036"/>
      <c r="Q172" s="315"/>
      <c r="R172" s="273"/>
      <c r="S172" s="924"/>
      <c r="T172" s="588"/>
      <c r="U172" s="363"/>
    </row>
    <row r="173" spans="1:21" s="93" customFormat="1" ht="17.25" customHeight="1" thickBot="1">
      <c r="A173" s="1134"/>
      <c r="B173" s="936"/>
      <c r="C173" s="982"/>
      <c r="D173" s="1279"/>
      <c r="E173" s="1058"/>
      <c r="F173" s="1058"/>
      <c r="G173" s="1285"/>
      <c r="H173" s="34">
        <v>1759.53</v>
      </c>
      <c r="I173" s="33">
        <v>1759.53</v>
      </c>
      <c r="J173" s="33">
        <v>310.5</v>
      </c>
      <c r="K173" s="35">
        <v>310.5</v>
      </c>
      <c r="L173" s="790"/>
      <c r="M173" s="1036"/>
      <c r="N173" s="1161"/>
      <c r="O173" s="1161"/>
      <c r="P173" s="1036"/>
      <c r="Q173" s="315"/>
      <c r="R173" s="273">
        <f>E162</f>
        <v>538717.96</v>
      </c>
      <c r="S173" s="924"/>
      <c r="T173" s="588"/>
      <c r="U173" s="363"/>
    </row>
    <row r="174" spans="1:21" s="93" customFormat="1" ht="24" customHeight="1" thickBot="1">
      <c r="A174" s="1134"/>
      <c r="B174" s="936"/>
      <c r="C174" s="359"/>
      <c r="D174" s="354"/>
      <c r="E174" s="1058"/>
      <c r="F174" s="1058"/>
      <c r="G174" s="434"/>
      <c r="H174" s="34">
        <v>454.32</v>
      </c>
      <c r="I174" s="33">
        <v>454.32</v>
      </c>
      <c r="J174" s="33">
        <v>80.17</v>
      </c>
      <c r="K174" s="35">
        <v>80.17</v>
      </c>
      <c r="L174" s="790"/>
      <c r="M174" s="1036"/>
      <c r="N174" s="1161"/>
      <c r="O174" s="1161"/>
      <c r="P174" s="1036"/>
      <c r="Q174" s="315"/>
      <c r="R174" s="273"/>
      <c r="S174" s="924"/>
      <c r="T174" s="590"/>
      <c r="U174" s="363"/>
    </row>
    <row r="175" spans="1:21" s="92" customFormat="1" ht="18.75" customHeight="1">
      <c r="A175" s="1134"/>
      <c r="B175" s="936"/>
      <c r="C175" s="359"/>
      <c r="D175" s="354"/>
      <c r="E175" s="1058"/>
      <c r="F175" s="1058"/>
      <c r="G175" s="434"/>
      <c r="H175" s="34">
        <v>12333.96</v>
      </c>
      <c r="I175" s="33">
        <v>12333.96</v>
      </c>
      <c r="J175" s="33">
        <v>2176.59</v>
      </c>
      <c r="K175" s="35">
        <v>2176.58</v>
      </c>
      <c r="L175" s="790"/>
      <c r="M175" s="1036"/>
      <c r="N175" s="1161"/>
      <c r="O175" s="1161"/>
      <c r="P175" s="1036"/>
      <c r="Q175" s="315"/>
      <c r="R175" s="273"/>
      <c r="S175" s="924"/>
      <c r="T175" s="1251">
        <f>(E254-N254)/E254*100/9</f>
        <v>3.051128287120539</v>
      </c>
      <c r="U175" s="538"/>
    </row>
    <row r="176" spans="1:21" s="92" customFormat="1" ht="18.75" customHeight="1" thickBot="1">
      <c r="A176" s="1134"/>
      <c r="B176" s="936"/>
      <c r="C176" s="598"/>
      <c r="D176" s="663"/>
      <c r="E176" s="1058"/>
      <c r="F176" s="1058"/>
      <c r="G176" s="434"/>
      <c r="H176" s="34">
        <v>2409.1</v>
      </c>
      <c r="I176" s="33">
        <v>2409.1</v>
      </c>
      <c r="J176" s="33">
        <v>425.13</v>
      </c>
      <c r="K176" s="35">
        <v>425.13</v>
      </c>
      <c r="L176" s="790"/>
      <c r="M176" s="1036"/>
      <c r="N176" s="1161"/>
      <c r="O176" s="1161"/>
      <c r="P176" s="1036"/>
      <c r="Q176" s="524"/>
      <c r="R176" s="525"/>
      <c r="S176" s="924"/>
      <c r="T176" s="1252"/>
      <c r="U176" s="538"/>
    </row>
    <row r="177" spans="1:21" s="92" customFormat="1" ht="18.75" customHeight="1">
      <c r="A177" s="1134"/>
      <c r="B177" s="936"/>
      <c r="C177" s="359"/>
      <c r="D177" s="354"/>
      <c r="E177" s="1058"/>
      <c r="F177" s="1058"/>
      <c r="G177" s="434"/>
      <c r="H177" s="331">
        <v>20487.71</v>
      </c>
      <c r="I177" s="332">
        <v>20487.71</v>
      </c>
      <c r="J177" s="332">
        <v>3615.49</v>
      </c>
      <c r="K177" s="333">
        <v>3615.48</v>
      </c>
      <c r="L177" s="790"/>
      <c r="M177" s="1036"/>
      <c r="N177" s="1161"/>
      <c r="O177" s="1161"/>
      <c r="P177" s="1036"/>
      <c r="Q177" s="315"/>
      <c r="R177" s="273"/>
      <c r="S177" s="924"/>
      <c r="T177" s="1252"/>
      <c r="U177" s="538"/>
    </row>
    <row r="178" spans="1:21" s="92" customFormat="1" ht="18.75" customHeight="1" thickBot="1">
      <c r="A178" s="1134"/>
      <c r="B178" s="936"/>
      <c r="C178" s="359"/>
      <c r="D178" s="354"/>
      <c r="E178" s="1058"/>
      <c r="F178" s="1058"/>
      <c r="G178" s="434"/>
      <c r="H178" s="331">
        <v>1003.09</v>
      </c>
      <c r="I178" s="332">
        <v>1003.09</v>
      </c>
      <c r="J178" s="332">
        <v>177.02</v>
      </c>
      <c r="K178" s="333">
        <v>177.02</v>
      </c>
      <c r="L178" s="790"/>
      <c r="M178" s="1036"/>
      <c r="N178" s="1161"/>
      <c r="O178" s="1161"/>
      <c r="P178" s="1036"/>
      <c r="Q178" s="315"/>
      <c r="R178" s="273"/>
      <c r="S178" s="924"/>
      <c r="T178" s="1253"/>
      <c r="U178" s="538"/>
    </row>
    <row r="179" spans="1:21" s="93" customFormat="1" ht="17.25" customHeight="1">
      <c r="A179" s="1134"/>
      <c r="B179" s="936"/>
      <c r="C179" s="354"/>
      <c r="D179" s="354"/>
      <c r="E179" s="1058"/>
      <c r="F179" s="1058"/>
      <c r="G179" s="434"/>
      <c r="H179" s="331">
        <v>16801.18</v>
      </c>
      <c r="I179" s="332">
        <v>16801.18</v>
      </c>
      <c r="J179" s="332">
        <v>2964.93</v>
      </c>
      <c r="K179" s="333">
        <v>2964.92</v>
      </c>
      <c r="L179" s="790"/>
      <c r="M179" s="1036"/>
      <c r="N179" s="1161"/>
      <c r="O179" s="1161"/>
      <c r="P179" s="1036"/>
      <c r="Q179" s="315"/>
      <c r="R179" s="273"/>
      <c r="S179" s="924"/>
      <c r="T179" s="588"/>
      <c r="U179" s="363"/>
    </row>
    <row r="180" spans="1:21" s="93" customFormat="1" ht="17.25" customHeight="1">
      <c r="A180" s="1134"/>
      <c r="B180" s="936"/>
      <c r="C180" s="354"/>
      <c r="D180" s="354"/>
      <c r="E180" s="1058"/>
      <c r="F180" s="1058"/>
      <c r="G180" s="434"/>
      <c r="H180" s="331">
        <v>775.89</v>
      </c>
      <c r="I180" s="332">
        <v>775.89</v>
      </c>
      <c r="J180" s="332">
        <v>136.92</v>
      </c>
      <c r="K180" s="333">
        <v>136.92</v>
      </c>
      <c r="L180" s="790"/>
      <c r="M180" s="1036"/>
      <c r="N180" s="1161"/>
      <c r="O180" s="1161"/>
      <c r="P180" s="1036"/>
      <c r="Q180" s="315"/>
      <c r="R180" s="273"/>
      <c r="S180" s="924"/>
      <c r="T180" s="588"/>
      <c r="U180" s="363"/>
    </row>
    <row r="181" spans="1:21" s="93" customFormat="1" ht="17.25" customHeight="1">
      <c r="A181" s="1134"/>
      <c r="B181" s="936"/>
      <c r="C181" s="354"/>
      <c r="D181" s="354"/>
      <c r="E181" s="1058"/>
      <c r="F181" s="1058"/>
      <c r="G181" s="434"/>
      <c r="H181" s="331">
        <v>478.85</v>
      </c>
      <c r="I181" s="332">
        <v>478.85</v>
      </c>
      <c r="J181" s="332">
        <v>84.5</v>
      </c>
      <c r="K181" s="333">
        <v>84.5</v>
      </c>
      <c r="L181" s="790"/>
      <c r="M181" s="1036"/>
      <c r="N181" s="1161"/>
      <c r="O181" s="1161"/>
      <c r="P181" s="1036"/>
      <c r="Q181" s="315"/>
      <c r="R181" s="273"/>
      <c r="S181" s="924"/>
      <c r="T181" s="588"/>
      <c r="U181" s="363"/>
    </row>
    <row r="182" spans="1:21" s="93" customFormat="1" ht="17.25" customHeight="1" thickBot="1">
      <c r="A182" s="1134"/>
      <c r="B182" s="937"/>
      <c r="C182" s="354"/>
      <c r="D182" s="354"/>
      <c r="E182" s="1058"/>
      <c r="F182" s="1058"/>
      <c r="G182" s="434"/>
      <c r="H182" s="331">
        <v>18199.14</v>
      </c>
      <c r="I182" s="332">
        <v>18199.14</v>
      </c>
      <c r="J182" s="332">
        <v>3211.61</v>
      </c>
      <c r="K182" s="333">
        <v>3211.61</v>
      </c>
      <c r="L182" s="790"/>
      <c r="M182" s="1036"/>
      <c r="N182" s="1161"/>
      <c r="O182" s="1161"/>
      <c r="P182" s="1036"/>
      <c r="Q182" s="315"/>
      <c r="R182" s="273"/>
      <c r="S182" s="924"/>
      <c r="T182" s="588"/>
      <c r="U182" s="363"/>
    </row>
    <row r="183" spans="1:21" s="93" customFormat="1" ht="18.75" customHeight="1">
      <c r="A183" s="1067"/>
      <c r="B183" s="1067"/>
      <c r="C183" s="354"/>
      <c r="D183" s="354"/>
      <c r="E183" s="1106"/>
      <c r="F183" s="1106"/>
      <c r="G183" s="434"/>
      <c r="H183" s="331">
        <v>11409</v>
      </c>
      <c r="I183" s="332">
        <v>11409</v>
      </c>
      <c r="J183" s="332">
        <v>2013.35</v>
      </c>
      <c r="K183" s="333">
        <v>2013.35</v>
      </c>
      <c r="L183" s="1127"/>
      <c r="M183" s="1127"/>
      <c r="N183" s="1156"/>
      <c r="O183" s="1127"/>
      <c r="P183" s="1127"/>
      <c r="Q183" s="315"/>
      <c r="R183" s="273"/>
      <c r="S183" s="1127"/>
      <c r="T183" s="1348">
        <f>(E213-N213)/E213*100/9</f>
        <v>3.3813833148525716</v>
      </c>
      <c r="U183" s="363"/>
    </row>
    <row r="184" spans="1:21" s="93" customFormat="1" ht="24" customHeight="1" thickBot="1">
      <c r="A184" s="1128"/>
      <c r="B184" s="1128"/>
      <c r="C184" s="354"/>
      <c r="D184" s="354"/>
      <c r="E184" s="1107"/>
      <c r="F184" s="1107"/>
      <c r="G184" s="434"/>
      <c r="H184" s="325">
        <v>19185.36</v>
      </c>
      <c r="I184" s="326">
        <v>19185.36</v>
      </c>
      <c r="J184" s="326">
        <v>3385.65</v>
      </c>
      <c r="K184" s="327">
        <v>3385.65</v>
      </c>
      <c r="L184" s="1157"/>
      <c r="M184" s="1157"/>
      <c r="N184" s="1132"/>
      <c r="O184" s="1157"/>
      <c r="P184" s="1157"/>
      <c r="Q184" s="315"/>
      <c r="R184" s="273"/>
      <c r="S184" s="1157"/>
      <c r="T184" s="1349"/>
      <c r="U184" s="363"/>
    </row>
    <row r="185" spans="1:21" s="93" customFormat="1" ht="24" customHeight="1">
      <c r="A185" s="1133" t="s">
        <v>67</v>
      </c>
      <c r="B185" s="1133" t="s">
        <v>68</v>
      </c>
      <c r="C185" s="25">
        <v>1208322</v>
      </c>
      <c r="D185" s="20">
        <v>213233</v>
      </c>
      <c r="E185" s="46">
        <v>1338435.18</v>
      </c>
      <c r="F185" s="20">
        <v>236194.46</v>
      </c>
      <c r="G185" s="38">
        <v>1574629.64</v>
      </c>
      <c r="H185" s="25">
        <v>60433.55</v>
      </c>
      <c r="I185" s="19">
        <v>60433.55</v>
      </c>
      <c r="J185" s="19">
        <v>10664.76</v>
      </c>
      <c r="K185" s="20">
        <v>10664.76</v>
      </c>
      <c r="L185" s="789">
        <f>SUM(H185:K191)</f>
        <v>1041059.4599999997</v>
      </c>
      <c r="M185" s="1035">
        <f>L185/E186*100</f>
        <v>66.1145601196736</v>
      </c>
      <c r="N185" s="1077">
        <f>IP_čerapanie!N113</f>
        <v>884900</v>
      </c>
      <c r="O185" s="1251">
        <f>N185/E185*100</f>
        <v>66.1145203908941</v>
      </c>
      <c r="P185" s="1251">
        <f>IP_čerapanie!P113</f>
        <v>884900</v>
      </c>
      <c r="Q185" s="1345">
        <f>P185/E185*100</f>
        <v>66.1145203908941</v>
      </c>
      <c r="R185" s="292">
        <f>E185+F185</f>
        <v>1574629.64</v>
      </c>
      <c r="S185" s="1345">
        <f>P185/E185*100</f>
        <v>66.1145203908941</v>
      </c>
      <c r="T185" s="588"/>
      <c r="U185" s="363"/>
    </row>
    <row r="186" spans="1:21" s="93" customFormat="1" ht="24" customHeight="1">
      <c r="A186" s="1134"/>
      <c r="B186" s="1134"/>
      <c r="C186" s="943">
        <f>SUM(C185:D185)</f>
        <v>1421555</v>
      </c>
      <c r="D186" s="944"/>
      <c r="E186" s="1119">
        <v>1574629.64</v>
      </c>
      <c r="F186" s="1120"/>
      <c r="G186" s="1444">
        <v>1574629.64</v>
      </c>
      <c r="H186" s="12">
        <v>108044.74</v>
      </c>
      <c r="I186" s="11">
        <v>108044.74</v>
      </c>
      <c r="J186" s="11">
        <v>19066.73</v>
      </c>
      <c r="K186" s="13">
        <v>19066.73</v>
      </c>
      <c r="L186" s="790"/>
      <c r="M186" s="1036"/>
      <c r="N186" s="1075"/>
      <c r="O186" s="1252"/>
      <c r="P186" s="1252"/>
      <c r="Q186" s="1346"/>
      <c r="R186" s="292"/>
      <c r="S186" s="1346"/>
      <c r="T186" s="588"/>
      <c r="U186" s="363"/>
    </row>
    <row r="187" spans="1:21" s="93" customFormat="1" ht="24" customHeight="1" thickBot="1">
      <c r="A187" s="1134"/>
      <c r="B187" s="1134"/>
      <c r="C187" s="943"/>
      <c r="D187" s="944"/>
      <c r="E187" s="1121"/>
      <c r="F187" s="1122"/>
      <c r="G187" s="1445"/>
      <c r="H187" s="30">
        <v>69300.47</v>
      </c>
      <c r="I187" s="31">
        <v>69300.47</v>
      </c>
      <c r="J187" s="31">
        <v>12229.5</v>
      </c>
      <c r="K187" s="32">
        <v>12229.5</v>
      </c>
      <c r="L187" s="790"/>
      <c r="M187" s="1036"/>
      <c r="N187" s="1075"/>
      <c r="O187" s="1252"/>
      <c r="P187" s="1252"/>
      <c r="Q187" s="1346"/>
      <c r="R187" s="292"/>
      <c r="S187" s="1346"/>
      <c r="T187" s="588"/>
      <c r="U187" s="363"/>
    </row>
    <row r="188" spans="1:21" s="93" customFormat="1" ht="18.75" customHeight="1">
      <c r="A188" s="1134"/>
      <c r="B188" s="1134"/>
      <c r="C188" s="943"/>
      <c r="D188" s="944"/>
      <c r="E188" s="1121"/>
      <c r="F188" s="1122"/>
      <c r="G188" s="1445"/>
      <c r="H188" s="34">
        <v>20604.97</v>
      </c>
      <c r="I188" s="33">
        <v>20604.97</v>
      </c>
      <c r="J188" s="33">
        <v>3636.17</v>
      </c>
      <c r="K188" s="35">
        <v>3636.17</v>
      </c>
      <c r="L188" s="790"/>
      <c r="M188" s="1036"/>
      <c r="N188" s="1075"/>
      <c r="O188" s="1252"/>
      <c r="P188" s="1252"/>
      <c r="Q188" s="1346"/>
      <c r="R188" s="292"/>
      <c r="S188" s="1346"/>
      <c r="T188" s="1348">
        <f>(E110-N110)/E110*100/9</f>
        <v>4.822249434754049</v>
      </c>
      <c r="U188" s="363"/>
    </row>
    <row r="189" spans="1:21" s="93" customFormat="1" ht="25.5" customHeight="1" thickBot="1">
      <c r="A189" s="1134"/>
      <c r="B189" s="1134"/>
      <c r="C189" s="943"/>
      <c r="D189" s="944"/>
      <c r="E189" s="1121"/>
      <c r="F189" s="1122"/>
      <c r="G189" s="1445"/>
      <c r="H189" s="34">
        <v>110547.93</v>
      </c>
      <c r="I189" s="33">
        <v>110547.93</v>
      </c>
      <c r="J189" s="33">
        <v>19508.46</v>
      </c>
      <c r="K189" s="35">
        <v>19508.46</v>
      </c>
      <c r="L189" s="790"/>
      <c r="M189" s="1036"/>
      <c r="N189" s="1075"/>
      <c r="O189" s="1252"/>
      <c r="P189" s="1252"/>
      <c r="Q189" s="1346"/>
      <c r="R189" s="292"/>
      <c r="S189" s="1346"/>
      <c r="T189" s="1349"/>
      <c r="U189" s="363"/>
    </row>
    <row r="190" spans="1:21" s="93" customFormat="1" ht="25.5" customHeight="1">
      <c r="A190" s="1134"/>
      <c r="B190" s="1134"/>
      <c r="C190" s="943"/>
      <c r="D190" s="944"/>
      <c r="E190" s="1121"/>
      <c r="F190" s="1122"/>
      <c r="G190" s="1445"/>
      <c r="H190" s="34">
        <v>56157.33</v>
      </c>
      <c r="I190" s="33">
        <v>56157.33</v>
      </c>
      <c r="J190" s="33">
        <v>9910.12</v>
      </c>
      <c r="K190" s="35">
        <v>9910.12</v>
      </c>
      <c r="L190" s="790"/>
      <c r="M190" s="1036"/>
      <c r="N190" s="1075"/>
      <c r="O190" s="1252"/>
      <c r="P190" s="1252"/>
      <c r="Q190" s="1346"/>
      <c r="R190" s="292"/>
      <c r="S190" s="1346"/>
      <c r="T190" s="588"/>
      <c r="U190" s="363"/>
    </row>
    <row r="191" spans="1:21" s="93" customFormat="1" ht="24.75" customHeight="1" thickBot="1">
      <c r="A191" s="1090"/>
      <c r="B191" s="1090"/>
      <c r="C191" s="945"/>
      <c r="D191" s="946"/>
      <c r="E191" s="905"/>
      <c r="F191" s="906"/>
      <c r="G191" s="1446"/>
      <c r="H191" s="14">
        <v>17361.25</v>
      </c>
      <c r="I191" s="15">
        <v>17361.25</v>
      </c>
      <c r="J191" s="15">
        <v>3063.75</v>
      </c>
      <c r="K191" s="16">
        <v>3063.75</v>
      </c>
      <c r="L191" s="766"/>
      <c r="M191" s="1027"/>
      <c r="N191" s="1076"/>
      <c r="O191" s="1253"/>
      <c r="P191" s="1253"/>
      <c r="Q191" s="1347"/>
      <c r="R191" s="292">
        <f>E186</f>
        <v>1574629.64</v>
      </c>
      <c r="S191" s="1347"/>
      <c r="T191" s="588"/>
      <c r="U191" s="363"/>
    </row>
    <row r="192" spans="1:21" s="93" customFormat="1" ht="16.5" customHeight="1" hidden="1">
      <c r="A192" s="1133" t="s">
        <v>237</v>
      </c>
      <c r="B192" s="1133" t="s">
        <v>236</v>
      </c>
      <c r="C192" s="265">
        <f>1285527+220303</f>
        <v>1505830</v>
      </c>
      <c r="D192" s="267">
        <f>226858+38877</f>
        <v>265735</v>
      </c>
      <c r="E192" s="265">
        <v>1505830</v>
      </c>
      <c r="F192" s="433">
        <v>265735</v>
      </c>
      <c r="G192" s="317">
        <f>E192+F192</f>
        <v>1771565</v>
      </c>
      <c r="H192" s="265">
        <v>71003.86</v>
      </c>
      <c r="I192" s="266">
        <v>12173.21</v>
      </c>
      <c r="J192" s="266">
        <v>12535.28</v>
      </c>
      <c r="K192" s="267">
        <v>2143.03</v>
      </c>
      <c r="L192" s="789">
        <f>SUM(H192:K202)</f>
        <v>1541192.6299999997</v>
      </c>
      <c r="M192" s="923">
        <f>L192/E193*100</f>
        <v>86.99610965445804</v>
      </c>
      <c r="N192" s="1160">
        <f>20480+404248+132939+220829+220828</f>
        <v>999324</v>
      </c>
      <c r="O192" s="1035">
        <f>N192/E192*100</f>
        <v>66.36366654934488</v>
      </c>
      <c r="P192" s="1035">
        <f>557667+64614+377043</f>
        <v>999324</v>
      </c>
      <c r="Q192" s="683"/>
      <c r="R192" s="611"/>
      <c r="S192" s="923">
        <f>P192/E192*100</f>
        <v>66.36366654934488</v>
      </c>
      <c r="T192" s="1251">
        <f>(E161-N161)/E161*100/9</f>
        <v>3.7765655460768914</v>
      </c>
      <c r="U192" s="363"/>
    </row>
    <row r="193" spans="1:21" s="93" customFormat="1" ht="16.5" customHeight="1" thickBot="1">
      <c r="A193" s="1134"/>
      <c r="B193" s="1134"/>
      <c r="C193" s="990">
        <f>C192+D192</f>
        <v>1771565</v>
      </c>
      <c r="D193" s="991"/>
      <c r="E193" s="1065">
        <v>1771565</v>
      </c>
      <c r="F193" s="1065"/>
      <c r="G193" s="1254">
        <v>1771565</v>
      </c>
      <c r="H193" s="287">
        <v>17482.38</v>
      </c>
      <c r="I193" s="288">
        <v>2997.26</v>
      </c>
      <c r="J193" s="288">
        <v>3086.4</v>
      </c>
      <c r="K193" s="285">
        <v>527.65</v>
      </c>
      <c r="L193" s="790"/>
      <c r="M193" s="924"/>
      <c r="N193" s="1161"/>
      <c r="O193" s="1036"/>
      <c r="P193" s="1036"/>
      <c r="Q193" s="614"/>
      <c r="R193" s="680">
        <f>E192+F192</f>
        <v>1771565</v>
      </c>
      <c r="S193" s="924"/>
      <c r="T193" s="1252"/>
      <c r="U193" s="363"/>
    </row>
    <row r="194" spans="1:21" s="93" customFormat="1" ht="16.5" customHeight="1" thickBot="1">
      <c r="A194" s="1134"/>
      <c r="B194" s="1134"/>
      <c r="C194" s="992"/>
      <c r="D194" s="993"/>
      <c r="E194" s="1058"/>
      <c r="F194" s="1058"/>
      <c r="G194" s="1263"/>
      <c r="H194" s="287">
        <v>4777.52</v>
      </c>
      <c r="I194" s="288">
        <v>819.08</v>
      </c>
      <c r="J194" s="288">
        <v>843.45</v>
      </c>
      <c r="K194" s="285">
        <v>144.19</v>
      </c>
      <c r="L194" s="790"/>
      <c r="M194" s="924"/>
      <c r="N194" s="1161"/>
      <c r="O194" s="1036"/>
      <c r="P194" s="1036"/>
      <c r="Q194" s="614"/>
      <c r="R194" s="680">
        <f>E193</f>
        <v>1771565</v>
      </c>
      <c r="S194" s="924"/>
      <c r="T194" s="1252"/>
      <c r="U194" s="363"/>
    </row>
    <row r="195" spans="1:21" s="93" customFormat="1" ht="16.5" customHeight="1" thickBot="1">
      <c r="A195" s="1134"/>
      <c r="B195" s="1134"/>
      <c r="C195" s="982"/>
      <c r="D195" s="983"/>
      <c r="E195" s="1058"/>
      <c r="F195" s="1058"/>
      <c r="G195" s="421"/>
      <c r="H195" s="287">
        <v>232530.42</v>
      </c>
      <c r="I195" s="288">
        <v>39866.02</v>
      </c>
      <c r="J195" s="288">
        <v>41051.75</v>
      </c>
      <c r="K195" s="285">
        <v>7018.21</v>
      </c>
      <c r="L195" s="790"/>
      <c r="M195" s="924"/>
      <c r="N195" s="1161"/>
      <c r="O195" s="1036"/>
      <c r="P195" s="1036"/>
      <c r="Q195" s="614"/>
      <c r="R195" s="680"/>
      <c r="S195" s="924"/>
      <c r="T195" s="1252"/>
      <c r="U195" s="363"/>
    </row>
    <row r="196" spans="1:21" s="93" customFormat="1" ht="16.5" customHeight="1">
      <c r="A196" s="1134"/>
      <c r="B196" s="1134"/>
      <c r="C196" s="359"/>
      <c r="D196" s="532"/>
      <c r="E196" s="1058"/>
      <c r="F196" s="1058"/>
      <c r="G196" s="63"/>
      <c r="H196" s="287">
        <v>82837.63</v>
      </c>
      <c r="I196" s="288">
        <v>14202.04</v>
      </c>
      <c r="J196" s="288">
        <v>14624.46</v>
      </c>
      <c r="K196" s="285">
        <v>2500.2</v>
      </c>
      <c r="L196" s="790"/>
      <c r="M196" s="924"/>
      <c r="N196" s="1161"/>
      <c r="O196" s="1036"/>
      <c r="P196" s="1036"/>
      <c r="Q196" s="537"/>
      <c r="R196" s="680"/>
      <c r="S196" s="924"/>
      <c r="T196" s="1252"/>
      <c r="U196" s="363"/>
    </row>
    <row r="197" spans="1:21" s="93" customFormat="1" ht="16.5" customHeight="1" thickBot="1">
      <c r="A197" s="1134"/>
      <c r="B197" s="1134"/>
      <c r="C197" s="598"/>
      <c r="D197" s="608"/>
      <c r="E197" s="1058"/>
      <c r="F197" s="1058"/>
      <c r="G197" s="421"/>
      <c r="H197" s="287">
        <v>36773.89</v>
      </c>
      <c r="I197" s="288">
        <v>6304.67</v>
      </c>
      <c r="J197" s="288">
        <v>6492.19</v>
      </c>
      <c r="K197" s="285">
        <v>1109.91</v>
      </c>
      <c r="L197" s="790"/>
      <c r="M197" s="924"/>
      <c r="N197" s="1161"/>
      <c r="O197" s="1036"/>
      <c r="P197" s="1036"/>
      <c r="Q197" s="614"/>
      <c r="R197" s="612"/>
      <c r="S197" s="924"/>
      <c r="T197" s="1252"/>
      <c r="U197" s="363"/>
    </row>
    <row r="198" spans="1:21" s="93" customFormat="1" ht="16.5" customHeight="1">
      <c r="A198" s="1134"/>
      <c r="B198" s="1134"/>
      <c r="C198" s="359"/>
      <c r="D198" s="532"/>
      <c r="E198" s="1058"/>
      <c r="F198" s="1058"/>
      <c r="G198" s="63"/>
      <c r="H198" s="287">
        <v>328826.97</v>
      </c>
      <c r="I198" s="288">
        <v>56375.52</v>
      </c>
      <c r="J198" s="288">
        <v>58052.29</v>
      </c>
      <c r="K198" s="285">
        <v>9924.63</v>
      </c>
      <c r="L198" s="790"/>
      <c r="M198" s="924"/>
      <c r="N198" s="1161"/>
      <c r="O198" s="1036"/>
      <c r="P198" s="1036"/>
      <c r="Q198" s="537"/>
      <c r="R198" s="680"/>
      <c r="S198" s="924"/>
      <c r="T198" s="1252"/>
      <c r="U198" s="363"/>
    </row>
    <row r="199" spans="1:21" s="93" customFormat="1" ht="16.5" customHeight="1">
      <c r="A199" s="1134"/>
      <c r="B199" s="1134"/>
      <c r="C199" s="359"/>
      <c r="D199" s="532"/>
      <c r="E199" s="1058"/>
      <c r="F199" s="1058"/>
      <c r="G199" s="63"/>
      <c r="H199" s="287">
        <v>30645.43</v>
      </c>
      <c r="I199" s="288">
        <v>5253.98</v>
      </c>
      <c r="J199" s="288">
        <v>5410.26</v>
      </c>
      <c r="K199" s="285">
        <v>924.94</v>
      </c>
      <c r="L199" s="790"/>
      <c r="M199" s="924"/>
      <c r="N199" s="1161"/>
      <c r="O199" s="1036"/>
      <c r="P199" s="1036"/>
      <c r="Q199" s="537"/>
      <c r="R199" s="680"/>
      <c r="S199" s="924"/>
      <c r="T199" s="1252"/>
      <c r="U199" s="363"/>
    </row>
    <row r="200" spans="1:21" s="93" customFormat="1" ht="16.5" customHeight="1">
      <c r="A200" s="1134"/>
      <c r="B200" s="1134"/>
      <c r="C200" s="359"/>
      <c r="D200" s="354"/>
      <c r="E200" s="1058"/>
      <c r="F200" s="1058"/>
      <c r="G200" s="63"/>
      <c r="H200" s="287">
        <v>222445.94</v>
      </c>
      <c r="I200" s="288">
        <v>38137.09</v>
      </c>
      <c r="J200" s="288">
        <v>39271.41</v>
      </c>
      <c r="K200" s="285">
        <v>6713.85</v>
      </c>
      <c r="L200" s="790"/>
      <c r="M200" s="924"/>
      <c r="N200" s="1161"/>
      <c r="O200" s="1036"/>
      <c r="P200" s="1036"/>
      <c r="Q200" s="537"/>
      <c r="R200" s="680"/>
      <c r="S200" s="924"/>
      <c r="T200" s="1252"/>
      <c r="U200" s="363"/>
    </row>
    <row r="201" spans="1:21" s="93" customFormat="1" ht="16.5" customHeight="1">
      <c r="A201" s="1134"/>
      <c r="B201" s="1134"/>
      <c r="C201" s="359"/>
      <c r="D201" s="354"/>
      <c r="E201" s="1058"/>
      <c r="F201" s="1058"/>
      <c r="G201" s="63"/>
      <c r="H201" s="287">
        <v>48191.52</v>
      </c>
      <c r="I201" s="288">
        <v>8262.16</v>
      </c>
      <c r="J201" s="288">
        <v>8507.91</v>
      </c>
      <c r="K201" s="285">
        <v>1454.51</v>
      </c>
      <c r="L201" s="790"/>
      <c r="M201" s="924"/>
      <c r="N201" s="1161"/>
      <c r="O201" s="1036"/>
      <c r="P201" s="1036"/>
      <c r="Q201" s="537"/>
      <c r="R201" s="680"/>
      <c r="S201" s="924"/>
      <c r="T201" s="1252"/>
      <c r="U201" s="363"/>
    </row>
    <row r="202" spans="1:21" s="93" customFormat="1" ht="16.5" customHeight="1" thickBot="1">
      <c r="A202" s="1090"/>
      <c r="B202" s="1090"/>
      <c r="C202" s="359"/>
      <c r="D202" s="354"/>
      <c r="E202" s="1264"/>
      <c r="F202" s="1264"/>
      <c r="G202" s="63"/>
      <c r="H202" s="282">
        <v>42773.77</v>
      </c>
      <c r="I202" s="283">
        <v>7333.32</v>
      </c>
      <c r="J202" s="283">
        <v>7551.44</v>
      </c>
      <c r="K202" s="284">
        <v>1290.99</v>
      </c>
      <c r="L202" s="766"/>
      <c r="M202" s="927"/>
      <c r="N202" s="1126"/>
      <c r="O202" s="1027"/>
      <c r="P202" s="1027"/>
      <c r="Q202" s="537"/>
      <c r="R202" s="680"/>
      <c r="S202" s="927"/>
      <c r="T202" s="1252"/>
      <c r="U202" s="363"/>
    </row>
    <row r="203" spans="1:21" s="93" customFormat="1" ht="16.5" customHeight="1">
      <c r="A203" s="1133" t="s">
        <v>179</v>
      </c>
      <c r="B203" s="1133" t="s">
        <v>180</v>
      </c>
      <c r="C203" s="310">
        <f>123631+123630</f>
        <v>247261</v>
      </c>
      <c r="D203" s="289">
        <f>21817*2</f>
        <v>43634</v>
      </c>
      <c r="E203" s="265">
        <v>247261</v>
      </c>
      <c r="F203" s="267">
        <v>43634</v>
      </c>
      <c r="G203" s="317">
        <v>290895</v>
      </c>
      <c r="H203" s="265">
        <v>49452.15</v>
      </c>
      <c r="I203" s="266">
        <v>49452.15</v>
      </c>
      <c r="J203" s="266">
        <v>8726.85</v>
      </c>
      <c r="K203" s="267">
        <v>8726.85</v>
      </c>
      <c r="L203" s="789">
        <f>SUM(H203:K208)</f>
        <v>276350.25000000006</v>
      </c>
      <c r="M203" s="923">
        <f>L203/E204*100</f>
        <v>95.00000000000001</v>
      </c>
      <c r="N203" s="1160">
        <v>171089</v>
      </c>
      <c r="O203" s="1035">
        <f>N203/E203*100</f>
        <v>69.19368602407981</v>
      </c>
      <c r="P203" s="1035">
        <f>112918+29085+29086</f>
        <v>171089</v>
      </c>
      <c r="Q203" s="1304">
        <f>P203/E203*100</f>
        <v>69.19368602407981</v>
      </c>
      <c r="R203" s="273">
        <f>E203+F203</f>
        <v>290895</v>
      </c>
      <c r="S203" s="923">
        <f>P203/E203*100</f>
        <v>69.19368602407981</v>
      </c>
      <c r="T203" s="1252"/>
      <c r="U203" s="363"/>
    </row>
    <row r="204" spans="1:21" s="93" customFormat="1" ht="16.5" customHeight="1" thickBot="1">
      <c r="A204" s="1134"/>
      <c r="B204" s="1134"/>
      <c r="C204" s="1119">
        <f>C203+D203</f>
        <v>290895</v>
      </c>
      <c r="D204" s="1120"/>
      <c r="E204" s="1119">
        <v>290895</v>
      </c>
      <c r="F204" s="1120"/>
      <c r="G204" s="421">
        <v>290895</v>
      </c>
      <c r="H204" s="287">
        <v>20720.72</v>
      </c>
      <c r="I204" s="288">
        <v>20720.72</v>
      </c>
      <c r="J204" s="288">
        <v>3656.6</v>
      </c>
      <c r="K204" s="285">
        <v>3656.6</v>
      </c>
      <c r="L204" s="790"/>
      <c r="M204" s="924"/>
      <c r="N204" s="1161"/>
      <c r="O204" s="1036"/>
      <c r="P204" s="1036"/>
      <c r="Q204" s="1307"/>
      <c r="R204" s="273">
        <f>E204</f>
        <v>290895</v>
      </c>
      <c r="S204" s="924"/>
      <c r="T204" s="1252"/>
      <c r="U204" s="363"/>
    </row>
    <row r="205" spans="1:21" s="93" customFormat="1" ht="16.5" customHeight="1" thickBot="1">
      <c r="A205" s="1134"/>
      <c r="B205" s="1134"/>
      <c r="C205" s="1390"/>
      <c r="D205" s="1391"/>
      <c r="E205" s="1121"/>
      <c r="F205" s="1122"/>
      <c r="G205" s="63"/>
      <c r="H205" s="287">
        <v>3904.24</v>
      </c>
      <c r="I205" s="288">
        <v>3904.24</v>
      </c>
      <c r="J205" s="288">
        <v>688.98</v>
      </c>
      <c r="K205" s="285">
        <v>688.98</v>
      </c>
      <c r="L205" s="790"/>
      <c r="M205" s="924"/>
      <c r="N205" s="1161"/>
      <c r="O205" s="1036"/>
      <c r="P205" s="1036"/>
      <c r="Q205" s="315"/>
      <c r="R205" s="273"/>
      <c r="S205" s="924"/>
      <c r="T205" s="1252"/>
      <c r="U205" s="363"/>
    </row>
    <row r="206" spans="1:21" s="93" customFormat="1" ht="16.5" customHeight="1">
      <c r="A206" s="1134"/>
      <c r="B206" s="1134"/>
      <c r="C206" s="531"/>
      <c r="D206" s="581"/>
      <c r="E206" s="1121"/>
      <c r="F206" s="1122"/>
      <c r="G206" s="63"/>
      <c r="H206" s="287">
        <v>1308.57</v>
      </c>
      <c r="I206" s="288">
        <v>1308.57</v>
      </c>
      <c r="J206" s="288">
        <v>230.93</v>
      </c>
      <c r="K206" s="285">
        <v>230.92</v>
      </c>
      <c r="L206" s="790"/>
      <c r="M206" s="924"/>
      <c r="N206" s="1161"/>
      <c r="O206" s="1036"/>
      <c r="P206" s="1036"/>
      <c r="Q206" s="315"/>
      <c r="R206" s="273"/>
      <c r="S206" s="924"/>
      <c r="T206" s="1252"/>
      <c r="U206" s="363"/>
    </row>
    <row r="207" spans="1:21" s="93" customFormat="1" ht="16.5" customHeight="1" thickBot="1">
      <c r="A207" s="1067"/>
      <c r="B207" s="1067"/>
      <c r="C207" s="533"/>
      <c r="D207" s="533"/>
      <c r="E207" s="1144"/>
      <c r="F207" s="1145"/>
      <c r="G207" s="63"/>
      <c r="H207" s="310">
        <v>30524.65</v>
      </c>
      <c r="I207" s="311">
        <v>30524.65</v>
      </c>
      <c r="J207" s="311">
        <v>5386.71</v>
      </c>
      <c r="K207" s="714">
        <v>5386.7</v>
      </c>
      <c r="L207" s="1127"/>
      <c r="M207" s="1127"/>
      <c r="N207" s="1156"/>
      <c r="O207" s="926"/>
      <c r="P207" s="926"/>
      <c r="Q207" s="315"/>
      <c r="R207" s="273"/>
      <c r="S207" s="926"/>
      <c r="T207" s="1253"/>
      <c r="U207" s="363"/>
    </row>
    <row r="208" spans="1:21" s="93" customFormat="1" ht="16.5" customHeight="1" thickBot="1">
      <c r="A208" s="1128"/>
      <c r="B208" s="1128"/>
      <c r="C208" s="772"/>
      <c r="D208" s="772"/>
      <c r="E208" s="1146"/>
      <c r="F208" s="1147"/>
      <c r="G208" s="63"/>
      <c r="H208" s="774">
        <v>11539.12</v>
      </c>
      <c r="I208" s="775">
        <v>11538.17</v>
      </c>
      <c r="J208" s="775">
        <v>2036.08</v>
      </c>
      <c r="K208" s="773">
        <v>2036.1</v>
      </c>
      <c r="L208" s="1157"/>
      <c r="M208" s="1157"/>
      <c r="N208" s="1132"/>
      <c r="O208" s="1157"/>
      <c r="P208" s="1157"/>
      <c r="Q208" s="524"/>
      <c r="R208" s="525"/>
      <c r="S208" s="1157"/>
      <c r="T208" s="588"/>
      <c r="U208" s="363"/>
    </row>
    <row r="209" spans="1:21" s="93" customFormat="1" ht="20.25" customHeight="1">
      <c r="A209" s="1133" t="s">
        <v>161</v>
      </c>
      <c r="B209" s="1133" t="s">
        <v>295</v>
      </c>
      <c r="C209" s="312">
        <f>745640+745639</f>
        <v>1491279</v>
      </c>
      <c r="D209" s="267">
        <f>131583.5*2</f>
        <v>263167</v>
      </c>
      <c r="E209" s="265">
        <v>1491279</v>
      </c>
      <c r="F209" s="267">
        <v>263167</v>
      </c>
      <c r="G209" s="317">
        <v>1754446</v>
      </c>
      <c r="H209" s="265">
        <v>83563.67</v>
      </c>
      <c r="I209" s="266">
        <v>83563.67</v>
      </c>
      <c r="J209" s="266">
        <v>14746.54</v>
      </c>
      <c r="K209" s="267">
        <v>14746.53</v>
      </c>
      <c r="L209" s="789">
        <f>SUM(H209:K212)</f>
        <v>1666723.7000000004</v>
      </c>
      <c r="M209" s="923">
        <f>L209/E210*100</f>
        <v>95.00000000000003</v>
      </c>
      <c r="N209" s="1160">
        <f>655321+189166+189167</f>
        <v>1033654</v>
      </c>
      <c r="O209" s="1035">
        <f>N209/E209*100</f>
        <v>69.31325392498654</v>
      </c>
      <c r="P209" s="1035">
        <f>655321+189167+189166</f>
        <v>1033654</v>
      </c>
      <c r="Q209" s="679"/>
      <c r="R209" s="611">
        <f>E209+F209</f>
        <v>1754446</v>
      </c>
      <c r="S209" s="923">
        <f>P209/E209*100</f>
        <v>69.31325392498654</v>
      </c>
      <c r="T209" s="1359">
        <f>(E244-N244)/E244*100/9</f>
        <v>3.072530443818921</v>
      </c>
      <c r="U209" s="363"/>
    </row>
    <row r="210" spans="1:21" s="93" customFormat="1" ht="18.75" customHeight="1" thickBot="1">
      <c r="A210" s="1134"/>
      <c r="B210" s="1134"/>
      <c r="C210" s="1024">
        <f>C209+D209</f>
        <v>1754446</v>
      </c>
      <c r="D210" s="1025"/>
      <c r="E210" s="1119">
        <v>1754446</v>
      </c>
      <c r="F210" s="1120"/>
      <c r="G210" s="425">
        <v>1754446</v>
      </c>
      <c r="H210" s="287">
        <v>244096.74</v>
      </c>
      <c r="I210" s="288">
        <v>244096.74</v>
      </c>
      <c r="J210" s="288">
        <v>43075.89</v>
      </c>
      <c r="K210" s="285">
        <v>43075.89</v>
      </c>
      <c r="L210" s="790"/>
      <c r="M210" s="924"/>
      <c r="N210" s="1161"/>
      <c r="O210" s="1036"/>
      <c r="P210" s="1036"/>
      <c r="Q210" s="614"/>
      <c r="R210" s="612">
        <f>E210</f>
        <v>1754446</v>
      </c>
      <c r="S210" s="924"/>
      <c r="T210" s="1360"/>
      <c r="U210" s="363"/>
    </row>
    <row r="211" spans="1:21" s="93" customFormat="1" ht="18" customHeight="1" thickBot="1">
      <c r="A211" s="1134"/>
      <c r="B211" s="1134"/>
      <c r="C211" s="354"/>
      <c r="D211" s="354"/>
      <c r="E211" s="1121"/>
      <c r="F211" s="1122"/>
      <c r="G211" s="63"/>
      <c r="H211" s="287">
        <v>189166.55</v>
      </c>
      <c r="I211" s="288">
        <v>189166.55</v>
      </c>
      <c r="J211" s="288">
        <v>33382.34</v>
      </c>
      <c r="K211" s="285">
        <v>33382.33</v>
      </c>
      <c r="L211" s="790"/>
      <c r="M211" s="924"/>
      <c r="N211" s="1161"/>
      <c r="O211" s="1036"/>
      <c r="P211" s="1036"/>
      <c r="Q211" s="537"/>
      <c r="R211" s="680"/>
      <c r="S211" s="924"/>
      <c r="T211" s="1362"/>
      <c r="U211" s="363"/>
    </row>
    <row r="212" spans="1:21" s="93" customFormat="1" ht="15.75" customHeight="1" thickBot="1">
      <c r="A212" s="1090"/>
      <c r="B212" s="1090"/>
      <c r="C212" s="354"/>
      <c r="D212" s="354"/>
      <c r="E212" s="905"/>
      <c r="F212" s="906"/>
      <c r="G212" s="63"/>
      <c r="H212" s="282">
        <v>191531.04</v>
      </c>
      <c r="I212" s="283">
        <v>191530.09</v>
      </c>
      <c r="J212" s="283">
        <v>33799.56</v>
      </c>
      <c r="K212" s="284">
        <v>33799.57</v>
      </c>
      <c r="L212" s="766"/>
      <c r="M212" s="927"/>
      <c r="N212" s="1126"/>
      <c r="O212" s="1027"/>
      <c r="P212" s="1027"/>
      <c r="Q212" s="537"/>
      <c r="R212" s="680"/>
      <c r="S212" s="927"/>
      <c r="T212" s="590"/>
      <c r="U212" s="363"/>
    </row>
    <row r="213" spans="1:21" s="93" customFormat="1" ht="17.25" customHeight="1" thickBot="1">
      <c r="A213" s="1133" t="s">
        <v>165</v>
      </c>
      <c r="B213" s="1133" t="s">
        <v>166</v>
      </c>
      <c r="C213" s="317">
        <f>(251613+251613)</f>
        <v>503226</v>
      </c>
      <c r="D213" s="267">
        <f>(27957+27957)</f>
        <v>55914</v>
      </c>
      <c r="E213" s="426">
        <v>503226</v>
      </c>
      <c r="F213" s="289">
        <v>55914</v>
      </c>
      <c r="G213" s="427">
        <v>559140</v>
      </c>
      <c r="H213" s="265">
        <v>95476.5</v>
      </c>
      <c r="I213" s="266">
        <v>95476.5</v>
      </c>
      <c r="J213" s="266">
        <v>10608.5</v>
      </c>
      <c r="K213" s="267">
        <v>10608.5</v>
      </c>
      <c r="L213" s="789">
        <f>SUM(H213:K217)</f>
        <v>531183.0000000001</v>
      </c>
      <c r="M213" s="923">
        <f>L213/E214*100</f>
        <v>95.00000000000001</v>
      </c>
      <c r="N213" s="1160">
        <v>350082</v>
      </c>
      <c r="O213" s="1160">
        <f>N213/E213*100</f>
        <v>69.56755016632687</v>
      </c>
      <c r="P213" s="1035">
        <f>283462+33310*2</f>
        <v>350082</v>
      </c>
      <c r="Q213" s="1304">
        <f>P213/E213*100</f>
        <v>69.56755016632687</v>
      </c>
      <c r="R213" s="363">
        <f>E213+F213</f>
        <v>559140</v>
      </c>
      <c r="S213" s="923">
        <f>P213/E213*100</f>
        <v>69.56755016632687</v>
      </c>
      <c r="T213" s="590"/>
      <c r="U213" s="363"/>
    </row>
    <row r="214" spans="1:21" s="91" customFormat="1" ht="14.25" customHeight="1" thickBot="1">
      <c r="A214" s="1134"/>
      <c r="B214" s="1134"/>
      <c r="C214" s="1280">
        <f>C213+D213</f>
        <v>559140</v>
      </c>
      <c r="D214" s="1025"/>
      <c r="E214" s="1065">
        <v>559140</v>
      </c>
      <c r="F214" s="1065"/>
      <c r="G214" s="421">
        <v>559140</v>
      </c>
      <c r="H214" s="282">
        <v>69877.34</v>
      </c>
      <c r="I214" s="283">
        <v>69877.34</v>
      </c>
      <c r="J214" s="283">
        <v>7764.15</v>
      </c>
      <c r="K214" s="284">
        <v>7764.14</v>
      </c>
      <c r="L214" s="790"/>
      <c r="M214" s="924"/>
      <c r="N214" s="1161"/>
      <c r="O214" s="1161"/>
      <c r="P214" s="1036"/>
      <c r="Q214" s="1307"/>
      <c r="R214" s="363">
        <f>E214</f>
        <v>559140</v>
      </c>
      <c r="S214" s="924"/>
      <c r="T214" s="1348">
        <f>(E250-N250)/E250*100/9</f>
        <v>3.0648126830463567</v>
      </c>
      <c r="U214" s="292"/>
    </row>
    <row r="215" spans="1:21" s="91" customFormat="1" ht="14.25" customHeight="1">
      <c r="A215" s="1134"/>
      <c r="B215" s="1134"/>
      <c r="C215" s="354"/>
      <c r="D215" s="354"/>
      <c r="E215" s="1058"/>
      <c r="F215" s="1058"/>
      <c r="G215" s="63"/>
      <c r="H215" s="287">
        <v>39059.27</v>
      </c>
      <c r="I215" s="288">
        <v>39059.27</v>
      </c>
      <c r="J215" s="288">
        <v>4339.93</v>
      </c>
      <c r="K215" s="285">
        <v>4339.92</v>
      </c>
      <c r="L215" s="790"/>
      <c r="M215" s="924"/>
      <c r="N215" s="1161"/>
      <c r="O215" s="1161"/>
      <c r="P215" s="1036"/>
      <c r="Q215" s="315"/>
      <c r="R215" s="363"/>
      <c r="S215" s="924"/>
      <c r="T215" s="1366"/>
      <c r="U215" s="292"/>
    </row>
    <row r="216" spans="1:21" s="91" customFormat="1" ht="14.25" customHeight="1">
      <c r="A216" s="1134"/>
      <c r="B216" s="1134"/>
      <c r="C216" s="354"/>
      <c r="D216" s="354"/>
      <c r="E216" s="1058"/>
      <c r="F216" s="1058"/>
      <c r="G216" s="63"/>
      <c r="H216" s="328">
        <v>30377.47</v>
      </c>
      <c r="I216" s="329">
        <v>30377.47</v>
      </c>
      <c r="J216" s="329">
        <v>3375.27</v>
      </c>
      <c r="K216" s="330">
        <v>3375.27</v>
      </c>
      <c r="L216" s="790"/>
      <c r="M216" s="924"/>
      <c r="N216" s="1161"/>
      <c r="O216" s="1161"/>
      <c r="P216" s="1036"/>
      <c r="Q216" s="315"/>
      <c r="R216" s="363"/>
      <c r="S216" s="924"/>
      <c r="T216" s="1361"/>
      <c r="U216" s="292"/>
    </row>
    <row r="217" spans="1:21" s="91" customFormat="1" ht="14.25" customHeight="1" thickBot="1">
      <c r="A217" s="1090"/>
      <c r="B217" s="1090"/>
      <c r="C217" s="354"/>
      <c r="D217" s="354"/>
      <c r="E217" s="1264"/>
      <c r="F217" s="1264"/>
      <c r="G217" s="63"/>
      <c r="H217" s="710">
        <v>4241.77</v>
      </c>
      <c r="I217" s="711">
        <v>4241.77</v>
      </c>
      <c r="J217" s="711">
        <v>471.31</v>
      </c>
      <c r="K217" s="712">
        <v>471.31</v>
      </c>
      <c r="L217" s="766"/>
      <c r="M217" s="927"/>
      <c r="N217" s="1126"/>
      <c r="O217" s="1126"/>
      <c r="P217" s="1027"/>
      <c r="Q217" s="315"/>
      <c r="R217" s="363"/>
      <c r="S217" s="927"/>
      <c r="T217" s="1361"/>
      <c r="U217" s="292" t="s">
        <v>199</v>
      </c>
    </row>
    <row r="218" spans="1:21" s="91" customFormat="1" ht="14.25" customHeight="1" thickBot="1">
      <c r="A218" s="1133" t="s">
        <v>263</v>
      </c>
      <c r="B218" s="1097" t="s">
        <v>160</v>
      </c>
      <c r="C218" s="310">
        <v>356028</v>
      </c>
      <c r="D218" s="289">
        <v>62828</v>
      </c>
      <c r="E218" s="265">
        <v>356028</v>
      </c>
      <c r="F218" s="267">
        <v>62828</v>
      </c>
      <c r="G218" s="317">
        <v>418856</v>
      </c>
      <c r="H218" s="265">
        <v>0</v>
      </c>
      <c r="I218" s="266">
        <v>142410.7</v>
      </c>
      <c r="J218" s="266">
        <v>0</v>
      </c>
      <c r="K218" s="267">
        <v>25131.3</v>
      </c>
      <c r="L218" s="789">
        <f>SUM(H218:K222)</f>
        <v>397913.20000000007</v>
      </c>
      <c r="M218" s="923">
        <f>L218/E219*100</f>
        <v>95.00000000000001</v>
      </c>
      <c r="N218" s="1160">
        <f>197776+56622</f>
        <v>254398</v>
      </c>
      <c r="O218" s="1035">
        <f>N218/E218*100</f>
        <v>71.45449234329884</v>
      </c>
      <c r="P218" s="1035">
        <f>135560+62216+56622</f>
        <v>254398</v>
      </c>
      <c r="Q218" s="1302">
        <f>P218/E218*100</f>
        <v>71.45449234329884</v>
      </c>
      <c r="R218" s="538">
        <f>E218+F218</f>
        <v>418856</v>
      </c>
      <c r="S218" s="920">
        <f>P218/E218*100</f>
        <v>71.45449234329884</v>
      </c>
      <c r="T218" s="1349"/>
      <c r="U218" s="292"/>
    </row>
    <row r="219" spans="1:21" s="93" customFormat="1" ht="17.25" customHeight="1" thickBot="1">
      <c r="A219" s="1134"/>
      <c r="B219" s="1059"/>
      <c r="C219" s="1424">
        <v>418856</v>
      </c>
      <c r="D219" s="1425"/>
      <c r="E219" s="1277">
        <v>418856</v>
      </c>
      <c r="F219" s="1277"/>
      <c r="G219" s="63">
        <v>418856</v>
      </c>
      <c r="H219" s="287">
        <v>0</v>
      </c>
      <c r="I219" s="288">
        <v>44267.37</v>
      </c>
      <c r="J219" s="288">
        <v>0</v>
      </c>
      <c r="K219" s="285">
        <v>7811.89</v>
      </c>
      <c r="L219" s="790"/>
      <c r="M219" s="924"/>
      <c r="N219" s="1161"/>
      <c r="O219" s="1036"/>
      <c r="P219" s="1036"/>
      <c r="Q219" s="1303"/>
      <c r="R219" s="538">
        <f>E219</f>
        <v>418856</v>
      </c>
      <c r="S219" s="921"/>
      <c r="T219" s="1251">
        <f>(E123-N123)/E123*100/9</f>
        <v>4.4966653408784145</v>
      </c>
      <c r="U219" s="363"/>
    </row>
    <row r="220" spans="1:21" s="93" customFormat="1" ht="17.25" customHeight="1">
      <c r="A220" s="1134"/>
      <c r="B220" s="1059"/>
      <c r="C220" s="427"/>
      <c r="D220" s="427"/>
      <c r="E220" s="1278"/>
      <c r="F220" s="1278"/>
      <c r="G220" s="63"/>
      <c r="H220" s="287">
        <v>0</v>
      </c>
      <c r="I220" s="288">
        <v>65935.37</v>
      </c>
      <c r="J220" s="288">
        <v>0</v>
      </c>
      <c r="K220" s="285">
        <v>11635.65</v>
      </c>
      <c r="L220" s="790"/>
      <c r="M220" s="924"/>
      <c r="N220" s="1161"/>
      <c r="O220" s="1036"/>
      <c r="P220" s="1036"/>
      <c r="Q220" s="537"/>
      <c r="R220" s="538"/>
      <c r="S220" s="921"/>
      <c r="T220" s="1252"/>
      <c r="U220" s="363"/>
    </row>
    <row r="221" spans="1:21" s="93" customFormat="1" ht="25.5" customHeight="1" thickBot="1">
      <c r="A221" s="1134"/>
      <c r="B221" s="1059"/>
      <c r="C221" s="427"/>
      <c r="D221" s="427"/>
      <c r="E221" s="1278"/>
      <c r="F221" s="1278"/>
      <c r="G221" s="388"/>
      <c r="H221" s="398">
        <v>0</v>
      </c>
      <c r="I221" s="288">
        <v>72787.2</v>
      </c>
      <c r="J221" s="432">
        <v>0</v>
      </c>
      <c r="K221" s="285">
        <v>12844.8</v>
      </c>
      <c r="L221" s="790"/>
      <c r="M221" s="924"/>
      <c r="N221" s="1161"/>
      <c r="O221" s="1036"/>
      <c r="P221" s="1036"/>
      <c r="Q221" s="768"/>
      <c r="R221" s="273"/>
      <c r="S221" s="921"/>
      <c r="T221" s="1252"/>
      <c r="U221" s="363"/>
    </row>
    <row r="222" spans="1:21" s="93" customFormat="1" ht="25.5" customHeight="1" thickBot="1">
      <c r="A222" s="1090"/>
      <c r="B222" s="1060"/>
      <c r="C222" s="427"/>
      <c r="D222" s="427"/>
      <c r="E222" s="1279"/>
      <c r="F222" s="1279"/>
      <c r="G222" s="382"/>
      <c r="H222" s="359">
        <v>0</v>
      </c>
      <c r="I222" s="283">
        <v>12825.58</v>
      </c>
      <c r="J222" s="354">
        <v>0</v>
      </c>
      <c r="K222" s="284">
        <v>2263.34</v>
      </c>
      <c r="L222" s="766"/>
      <c r="M222" s="927"/>
      <c r="N222" s="1126"/>
      <c r="O222" s="1027"/>
      <c r="P222" s="1027"/>
      <c r="Q222" s="768"/>
      <c r="R222" s="273"/>
      <c r="S222" s="922"/>
      <c r="T222" s="1253"/>
      <c r="U222" s="363"/>
    </row>
    <row r="223" spans="1:21" s="93" customFormat="1" ht="25.5" customHeight="1">
      <c r="A223" s="1133" t="s">
        <v>192</v>
      </c>
      <c r="B223" s="1133" t="s">
        <v>193</v>
      </c>
      <c r="C223" s="310">
        <f>111596+111595</f>
        <v>223191</v>
      </c>
      <c r="D223" s="289">
        <f>19693.5*2</f>
        <v>39387</v>
      </c>
      <c r="E223" s="266">
        <v>223191</v>
      </c>
      <c r="F223" s="313">
        <v>39387</v>
      </c>
      <c r="G223" s="423">
        <v>262578</v>
      </c>
      <c r="H223" s="265">
        <v>44637.75</v>
      </c>
      <c r="I223" s="266">
        <v>44637.75</v>
      </c>
      <c r="J223" s="266">
        <v>7877.25</v>
      </c>
      <c r="K223" s="267">
        <v>7877.25</v>
      </c>
      <c r="L223" s="789">
        <f>SUM(H223:K227)</f>
        <v>220543.77999999997</v>
      </c>
      <c r="M223" s="923">
        <f>L223/E224*100</f>
        <v>83.99172055541591</v>
      </c>
      <c r="N223" s="1160">
        <f>152443+3991+3992</f>
        <v>160426</v>
      </c>
      <c r="O223" s="1035">
        <f>N223/E223*100</f>
        <v>71.87834634909113</v>
      </c>
      <c r="P223" s="1035">
        <f>152443+3992+3991</f>
        <v>160426</v>
      </c>
      <c r="Q223" s="1304">
        <f>P223/E223*100</f>
        <v>71.87834634909113</v>
      </c>
      <c r="R223" s="363">
        <f>E223+F223</f>
        <v>262578</v>
      </c>
      <c r="S223" s="923">
        <f>P223/E223*100</f>
        <v>71.87834634909113</v>
      </c>
      <c r="T223" s="588"/>
      <c r="U223" s="363"/>
    </row>
    <row r="224" spans="1:21" s="93" customFormat="1" ht="23.25" customHeight="1" thickBot="1">
      <c r="A224" s="1134"/>
      <c r="B224" s="1134"/>
      <c r="C224" s="1119">
        <f>C223+D223</f>
        <v>262578</v>
      </c>
      <c r="D224" s="1120"/>
      <c r="E224" s="1119">
        <v>262578</v>
      </c>
      <c r="F224" s="1065"/>
      <c r="G224" s="424">
        <v>262578</v>
      </c>
      <c r="H224" s="287">
        <v>34000</v>
      </c>
      <c r="I224" s="288">
        <v>34000</v>
      </c>
      <c r="J224" s="288">
        <v>6000</v>
      </c>
      <c r="K224" s="285">
        <v>6000</v>
      </c>
      <c r="L224" s="790"/>
      <c r="M224" s="924"/>
      <c r="N224" s="1161"/>
      <c r="O224" s="1036"/>
      <c r="P224" s="1036"/>
      <c r="Q224" s="1307"/>
      <c r="R224" s="363">
        <f>E224</f>
        <v>262578</v>
      </c>
      <c r="S224" s="924"/>
      <c r="T224" s="1357">
        <f>(E127-N127)/E127*100/9</f>
        <v>4.386594071514401</v>
      </c>
      <c r="U224" s="363"/>
    </row>
    <row r="225" spans="1:21" s="93" customFormat="1" ht="21" customHeight="1" thickBot="1">
      <c r="A225" s="1134"/>
      <c r="B225" s="1134"/>
      <c r="C225" s="1390"/>
      <c r="D225" s="1391"/>
      <c r="E225" s="1121"/>
      <c r="F225" s="1058"/>
      <c r="G225" s="63"/>
      <c r="H225" s="287">
        <v>2892.49</v>
      </c>
      <c r="I225" s="288">
        <v>2892.49</v>
      </c>
      <c r="J225" s="288">
        <v>510.45</v>
      </c>
      <c r="K225" s="285">
        <v>510.44</v>
      </c>
      <c r="L225" s="790"/>
      <c r="M225" s="924"/>
      <c r="N225" s="1161"/>
      <c r="O225" s="1036"/>
      <c r="P225" s="1036"/>
      <c r="Q225" s="315"/>
      <c r="R225" s="363"/>
      <c r="S225" s="924"/>
      <c r="T225" s="1358"/>
      <c r="U225" s="363"/>
    </row>
    <row r="226" spans="1:21" s="93" customFormat="1" ht="18" customHeight="1">
      <c r="A226" s="1067"/>
      <c r="B226" s="1067"/>
      <c r="C226" s="533"/>
      <c r="D226" s="533"/>
      <c r="E226" s="1144"/>
      <c r="F226" s="1106"/>
      <c r="G226" s="63"/>
      <c r="H226" s="287">
        <v>9565.86</v>
      </c>
      <c r="I226" s="288">
        <v>9565.86</v>
      </c>
      <c r="J226" s="288">
        <v>1688.1</v>
      </c>
      <c r="K226" s="285">
        <v>1688.09</v>
      </c>
      <c r="L226" s="1127"/>
      <c r="M226" s="1127"/>
      <c r="N226" s="1156"/>
      <c r="O226" s="926"/>
      <c r="P226" s="926"/>
      <c r="Q226" s="315"/>
      <c r="R226" s="363"/>
      <c r="S226" s="926"/>
      <c r="T226" s="590"/>
      <c r="U226" s="363"/>
    </row>
    <row r="227" spans="1:21" s="93" customFormat="1" ht="18" customHeight="1" thickBot="1">
      <c r="A227" s="1128"/>
      <c r="B227" s="1128"/>
      <c r="C227" s="533"/>
      <c r="D227" s="533"/>
      <c r="E227" s="1146"/>
      <c r="F227" s="1107"/>
      <c r="G227" s="63"/>
      <c r="H227" s="282">
        <v>2635</v>
      </c>
      <c r="I227" s="283">
        <v>2635</v>
      </c>
      <c r="J227" s="283">
        <v>465</v>
      </c>
      <c r="K227" s="355">
        <v>465</v>
      </c>
      <c r="L227" s="1157"/>
      <c r="M227" s="1157"/>
      <c r="N227" s="1132"/>
      <c r="O227" s="1157"/>
      <c r="P227" s="1157"/>
      <c r="Q227" s="315"/>
      <c r="R227" s="363"/>
      <c r="S227" s="1157"/>
      <c r="T227" s="590"/>
      <c r="U227" s="363"/>
    </row>
    <row r="228" spans="1:21" s="93" customFormat="1" ht="18" customHeight="1" thickBot="1">
      <c r="A228" s="935" t="s">
        <v>23</v>
      </c>
      <c r="B228" s="935" t="s">
        <v>24</v>
      </c>
      <c r="C228" s="172">
        <v>399551</v>
      </c>
      <c r="D228" s="172">
        <v>70509</v>
      </c>
      <c r="E228" s="61">
        <v>442575.1</v>
      </c>
      <c r="F228" s="80">
        <v>78101.54</v>
      </c>
      <c r="G228" s="173">
        <v>520676.63999999996</v>
      </c>
      <c r="H228" s="25">
        <v>856.7645887273451</v>
      </c>
      <c r="I228" s="19">
        <v>856.7645887273451</v>
      </c>
      <c r="J228" s="19">
        <v>151.19365332271127</v>
      </c>
      <c r="K228" s="17">
        <v>151.19365332271127</v>
      </c>
      <c r="L228" s="789">
        <f>SUM(H228:K243)</f>
        <v>387583.8233738302</v>
      </c>
      <c r="M228" s="1035">
        <f>L228/E229*100</f>
        <v>74.4384889965162</v>
      </c>
      <c r="N228" s="1160">
        <f>304875.956051251+7616+7617</f>
        <v>320108.956051251</v>
      </c>
      <c r="O228" s="1035">
        <f>N228/E228*100</f>
        <v>72.32873156471094</v>
      </c>
      <c r="P228" s="1035">
        <f>285286+5155+5156+4571*2+7617+7616</f>
        <v>319972</v>
      </c>
      <c r="Q228" s="923">
        <f>P228/E228*100</f>
        <v>72.2977862966082</v>
      </c>
      <c r="R228" s="420">
        <f>E228+F228</f>
        <v>520676.63999999996</v>
      </c>
      <c r="S228" s="923">
        <f>P228/E228*100</f>
        <v>72.2977862966082</v>
      </c>
      <c r="T228" s="590"/>
      <c r="U228" s="363"/>
    </row>
    <row r="229" spans="1:21" s="91" customFormat="1" ht="14.25" customHeight="1">
      <c r="A229" s="936"/>
      <c r="B229" s="936"/>
      <c r="C229" s="1135">
        <f>SUM(C228:D228)</f>
        <v>470060</v>
      </c>
      <c r="D229" s="1136"/>
      <c r="E229" s="1135">
        <v>520676.63999999996</v>
      </c>
      <c r="F229" s="1136"/>
      <c r="G229" s="1091">
        <v>520676.63999999996</v>
      </c>
      <c r="H229" s="49">
        <v>1168.7273451503684</v>
      </c>
      <c r="I229" s="22">
        <v>1168.7273451503684</v>
      </c>
      <c r="J229" s="22">
        <v>206.24609971453228</v>
      </c>
      <c r="K229" s="37">
        <v>206.24609971453228</v>
      </c>
      <c r="L229" s="790"/>
      <c r="M229" s="1036"/>
      <c r="N229" s="1161"/>
      <c r="O229" s="1036"/>
      <c r="P229" s="1036"/>
      <c r="Q229" s="924"/>
      <c r="R229" s="292"/>
      <c r="S229" s="924"/>
      <c r="T229" s="1348">
        <f>(E297-N297)/E297*100/9</f>
        <v>1.7250977276760737</v>
      </c>
      <c r="U229" s="292"/>
    </row>
    <row r="230" spans="1:21" s="91" customFormat="1" ht="14.25" customHeight="1">
      <c r="A230" s="936"/>
      <c r="B230" s="936"/>
      <c r="C230" s="1137"/>
      <c r="D230" s="1138"/>
      <c r="E230" s="1137"/>
      <c r="F230" s="1138"/>
      <c r="G230" s="1092"/>
      <c r="H230" s="34">
        <v>3646.91</v>
      </c>
      <c r="I230" s="33">
        <v>3646.91</v>
      </c>
      <c r="J230" s="33">
        <v>643.57</v>
      </c>
      <c r="K230" s="35">
        <v>643.57</v>
      </c>
      <c r="L230" s="790"/>
      <c r="M230" s="1036"/>
      <c r="N230" s="1161"/>
      <c r="O230" s="1036"/>
      <c r="P230" s="1036"/>
      <c r="Q230" s="924"/>
      <c r="R230" s="292"/>
      <c r="S230" s="924"/>
      <c r="T230" s="1361"/>
      <c r="U230" s="292"/>
    </row>
    <row r="231" spans="1:21" s="91" customFormat="1" ht="14.25" customHeight="1">
      <c r="A231" s="936"/>
      <c r="B231" s="936"/>
      <c r="C231" s="1137"/>
      <c r="D231" s="1138"/>
      <c r="E231" s="1137"/>
      <c r="F231" s="1138"/>
      <c r="G231" s="1092"/>
      <c r="H231" s="34">
        <v>123081.68</v>
      </c>
      <c r="I231" s="33">
        <v>123081.68</v>
      </c>
      <c r="J231" s="33">
        <v>21720.3</v>
      </c>
      <c r="K231" s="35">
        <v>21720.3</v>
      </c>
      <c r="L231" s="790"/>
      <c r="M231" s="1036"/>
      <c r="N231" s="1161"/>
      <c r="O231" s="1036"/>
      <c r="P231" s="1036"/>
      <c r="Q231" s="924"/>
      <c r="R231" s="292"/>
      <c r="S231" s="924"/>
      <c r="T231" s="1361"/>
      <c r="U231" s="292"/>
    </row>
    <row r="232" spans="1:21" s="91" customFormat="1" ht="14.25" customHeight="1">
      <c r="A232" s="936"/>
      <c r="B232" s="936"/>
      <c r="C232" s="1137"/>
      <c r="D232" s="1138"/>
      <c r="E232" s="1137"/>
      <c r="F232" s="1138"/>
      <c r="G232" s="1092"/>
      <c r="H232" s="34">
        <v>1320.28</v>
      </c>
      <c r="I232" s="33">
        <v>1320.28</v>
      </c>
      <c r="J232" s="33">
        <v>232.99</v>
      </c>
      <c r="K232" s="35">
        <v>232.99</v>
      </c>
      <c r="L232" s="790"/>
      <c r="M232" s="1036"/>
      <c r="N232" s="1161"/>
      <c r="O232" s="1036"/>
      <c r="P232" s="1036"/>
      <c r="Q232" s="924"/>
      <c r="R232" s="292"/>
      <c r="S232" s="924"/>
      <c r="T232" s="1361"/>
      <c r="U232" s="292"/>
    </row>
    <row r="233" spans="1:21" s="91" customFormat="1" ht="14.25" customHeight="1" thickBot="1">
      <c r="A233" s="936"/>
      <c r="B233" s="936"/>
      <c r="C233" s="1137"/>
      <c r="D233" s="1138"/>
      <c r="E233" s="1137"/>
      <c r="F233" s="1138"/>
      <c r="G233" s="1092"/>
      <c r="H233" s="34">
        <v>1300.25</v>
      </c>
      <c r="I233" s="33">
        <v>1300.25</v>
      </c>
      <c r="J233" s="33">
        <v>229.47</v>
      </c>
      <c r="K233" s="35">
        <v>229.46</v>
      </c>
      <c r="L233" s="790"/>
      <c r="M233" s="1036"/>
      <c r="N233" s="1161"/>
      <c r="O233" s="1036"/>
      <c r="P233" s="1036"/>
      <c r="Q233" s="927"/>
      <c r="R233" s="292"/>
      <c r="S233" s="924"/>
      <c r="T233" s="1349"/>
      <c r="U233" s="292"/>
    </row>
    <row r="234" spans="1:21" s="93" customFormat="1" ht="21.75" customHeight="1">
      <c r="A234" s="936"/>
      <c r="B234" s="936"/>
      <c r="C234" s="1137"/>
      <c r="D234" s="1138"/>
      <c r="E234" s="1137"/>
      <c r="F234" s="1138"/>
      <c r="G234" s="1092"/>
      <c r="H234" s="34">
        <v>4425.81</v>
      </c>
      <c r="I234" s="33">
        <v>4425.81</v>
      </c>
      <c r="J234" s="33">
        <v>781.03</v>
      </c>
      <c r="K234" s="35">
        <v>781.02</v>
      </c>
      <c r="L234" s="790"/>
      <c r="M234" s="1036"/>
      <c r="N234" s="1161"/>
      <c r="O234" s="1036"/>
      <c r="P234" s="1036"/>
      <c r="Q234" s="281"/>
      <c r="R234" s="292"/>
      <c r="S234" s="924"/>
      <c r="T234" s="1359">
        <f>(E137-N137)/E137*100/9</f>
        <v>4.042315286011355</v>
      </c>
      <c r="U234" s="363"/>
    </row>
    <row r="235" spans="1:21" s="93" customFormat="1" ht="21.75" customHeight="1">
      <c r="A235" s="936"/>
      <c r="B235" s="936"/>
      <c r="C235" s="1137"/>
      <c r="D235" s="1138"/>
      <c r="E235" s="1137"/>
      <c r="F235" s="1138"/>
      <c r="G235" s="1092"/>
      <c r="H235" s="34">
        <v>3150.47</v>
      </c>
      <c r="I235" s="33">
        <v>3150.47</v>
      </c>
      <c r="J235" s="33">
        <v>555.96</v>
      </c>
      <c r="K235" s="35">
        <v>555.96</v>
      </c>
      <c r="L235" s="790"/>
      <c r="M235" s="1036"/>
      <c r="N235" s="1161"/>
      <c r="O235" s="1036"/>
      <c r="P235" s="1036"/>
      <c r="Q235" s="281"/>
      <c r="R235" s="292"/>
      <c r="S235" s="924"/>
      <c r="T235" s="1360"/>
      <c r="U235" s="363"/>
    </row>
    <row r="236" spans="1:21" s="93" customFormat="1" ht="21.75" customHeight="1" thickBot="1">
      <c r="A236" s="936"/>
      <c r="B236" s="936"/>
      <c r="C236" s="1137"/>
      <c r="D236" s="1138"/>
      <c r="E236" s="1137"/>
      <c r="F236" s="1138"/>
      <c r="G236" s="1081"/>
      <c r="H236" s="34">
        <v>4492.99</v>
      </c>
      <c r="I236" s="33">
        <v>4492.99</v>
      </c>
      <c r="J236" s="33">
        <v>792.88</v>
      </c>
      <c r="K236" s="35">
        <v>792.88</v>
      </c>
      <c r="L236" s="790"/>
      <c r="M236" s="1036"/>
      <c r="N236" s="1161"/>
      <c r="O236" s="1036"/>
      <c r="P236" s="1036"/>
      <c r="Q236" s="281"/>
      <c r="R236" s="292">
        <f>E229</f>
        <v>520676.63999999996</v>
      </c>
      <c r="S236" s="924"/>
      <c r="T236" s="1360"/>
      <c r="U236" s="363"/>
    </row>
    <row r="237" spans="1:21" s="93" customFormat="1" ht="21.75" customHeight="1" thickBot="1">
      <c r="A237" s="936"/>
      <c r="B237" s="936"/>
      <c r="C237" s="1139"/>
      <c r="D237" s="1140"/>
      <c r="E237" s="1137"/>
      <c r="F237" s="1138"/>
      <c r="G237" s="391"/>
      <c r="H237" s="34">
        <v>1891.01</v>
      </c>
      <c r="I237" s="33">
        <v>1891.01</v>
      </c>
      <c r="J237" s="33">
        <v>333.72</v>
      </c>
      <c r="K237" s="35">
        <v>333.71</v>
      </c>
      <c r="L237" s="790"/>
      <c r="M237" s="1036"/>
      <c r="N237" s="1161"/>
      <c r="O237" s="1036"/>
      <c r="P237" s="1036"/>
      <c r="Q237" s="281"/>
      <c r="R237" s="292"/>
      <c r="S237" s="924"/>
      <c r="T237" s="1360"/>
      <c r="U237" s="363"/>
    </row>
    <row r="238" spans="1:21" s="93" customFormat="1" ht="21.75" customHeight="1">
      <c r="A238" s="936"/>
      <c r="B238" s="936"/>
      <c r="C238" s="534"/>
      <c r="D238" s="535"/>
      <c r="E238" s="1137"/>
      <c r="F238" s="1138"/>
      <c r="G238" s="391"/>
      <c r="H238" s="34">
        <v>1292.76</v>
      </c>
      <c r="I238" s="33">
        <v>1292.76</v>
      </c>
      <c r="J238" s="33">
        <v>228.14</v>
      </c>
      <c r="K238" s="43">
        <v>228.14</v>
      </c>
      <c r="L238" s="790"/>
      <c r="M238" s="1036"/>
      <c r="N238" s="1161"/>
      <c r="O238" s="1036"/>
      <c r="P238" s="1036"/>
      <c r="Q238" s="281"/>
      <c r="R238" s="292"/>
      <c r="S238" s="924"/>
      <c r="T238" s="590"/>
      <c r="U238" s="363"/>
    </row>
    <row r="239" spans="1:21" s="93" customFormat="1" ht="21.75" customHeight="1">
      <c r="A239" s="936"/>
      <c r="B239" s="936"/>
      <c r="C239" s="534"/>
      <c r="D239" s="535"/>
      <c r="E239" s="1137"/>
      <c r="F239" s="1138"/>
      <c r="G239" s="391"/>
      <c r="H239" s="34">
        <v>2532.63</v>
      </c>
      <c r="I239" s="33">
        <v>2532.63</v>
      </c>
      <c r="J239" s="33">
        <v>446.93</v>
      </c>
      <c r="K239" s="43">
        <v>446.93</v>
      </c>
      <c r="L239" s="790"/>
      <c r="M239" s="1036"/>
      <c r="N239" s="1161"/>
      <c r="O239" s="1036"/>
      <c r="P239" s="1036"/>
      <c r="Q239" s="281"/>
      <c r="R239" s="292"/>
      <c r="S239" s="924"/>
      <c r="T239" s="590"/>
      <c r="U239" s="363"/>
    </row>
    <row r="240" spans="1:21" s="93" customFormat="1" ht="21.75" customHeight="1">
      <c r="A240" s="936"/>
      <c r="B240" s="936"/>
      <c r="C240" s="662"/>
      <c r="D240" s="662"/>
      <c r="E240" s="1137"/>
      <c r="F240" s="1138"/>
      <c r="G240" s="391"/>
      <c r="H240" s="34">
        <v>5732.59</v>
      </c>
      <c r="I240" s="33">
        <v>5732.59</v>
      </c>
      <c r="J240" s="33">
        <v>1011.64</v>
      </c>
      <c r="K240" s="43">
        <v>1011.63</v>
      </c>
      <c r="L240" s="790"/>
      <c r="M240" s="1036"/>
      <c r="N240" s="1161"/>
      <c r="O240" s="1036"/>
      <c r="P240" s="1036"/>
      <c r="Q240" s="281"/>
      <c r="R240" s="292"/>
      <c r="S240" s="924"/>
      <c r="T240" s="590"/>
      <c r="U240" s="363"/>
    </row>
    <row r="241" spans="1:21" s="93" customFormat="1" ht="21.75" customHeight="1">
      <c r="A241" s="936"/>
      <c r="B241" s="936"/>
      <c r="C241" s="662"/>
      <c r="D241" s="662"/>
      <c r="E241" s="1137"/>
      <c r="F241" s="1138"/>
      <c r="G241" s="391"/>
      <c r="H241" s="34">
        <v>3278.53</v>
      </c>
      <c r="I241" s="33">
        <v>3278.53</v>
      </c>
      <c r="J241" s="33">
        <v>578.56</v>
      </c>
      <c r="K241" s="43">
        <v>578.56</v>
      </c>
      <c r="L241" s="790"/>
      <c r="M241" s="1036"/>
      <c r="N241" s="1161"/>
      <c r="O241" s="1036"/>
      <c r="P241" s="1036"/>
      <c r="Q241" s="281"/>
      <c r="R241" s="292"/>
      <c r="S241" s="924"/>
      <c r="T241" s="590"/>
      <c r="U241" s="363"/>
    </row>
    <row r="242" spans="1:21" s="93" customFormat="1" ht="21.75" customHeight="1">
      <c r="A242" s="937"/>
      <c r="B242" s="937"/>
      <c r="C242" s="662"/>
      <c r="D242" s="662"/>
      <c r="E242" s="1137"/>
      <c r="F242" s="1138"/>
      <c r="G242" s="391"/>
      <c r="H242" s="34">
        <v>4667.9</v>
      </c>
      <c r="I242" s="33">
        <v>4667.9</v>
      </c>
      <c r="J242" s="33">
        <v>823.75</v>
      </c>
      <c r="K242" s="43">
        <v>823.75</v>
      </c>
      <c r="L242" s="790"/>
      <c r="M242" s="1036"/>
      <c r="N242" s="1161"/>
      <c r="O242" s="1036"/>
      <c r="P242" s="1036"/>
      <c r="Q242" s="281"/>
      <c r="R242" s="292"/>
      <c r="S242" s="924"/>
      <c r="T242" s="590"/>
      <c r="U242" s="363"/>
    </row>
    <row r="243" spans="1:21" s="93" customFormat="1" ht="21.75" customHeight="1" thickBot="1">
      <c r="A243" s="1128"/>
      <c r="B243" s="1128"/>
      <c r="C243" s="662"/>
      <c r="D243" s="662"/>
      <c r="E243" s="1146"/>
      <c r="F243" s="1147"/>
      <c r="G243" s="391"/>
      <c r="H243" s="30">
        <v>1883.81</v>
      </c>
      <c r="I243" s="31">
        <v>1883.81</v>
      </c>
      <c r="J243" s="31">
        <v>332.44</v>
      </c>
      <c r="K243" s="40">
        <v>332.44</v>
      </c>
      <c r="L243" s="1157"/>
      <c r="M243" s="1157"/>
      <c r="N243" s="1132"/>
      <c r="O243" s="1157"/>
      <c r="P243" s="1157"/>
      <c r="Q243" s="281"/>
      <c r="R243" s="292"/>
      <c r="S243" s="1157"/>
      <c r="T243" s="590"/>
      <c r="U243" s="363"/>
    </row>
    <row r="244" spans="1:21" s="91" customFormat="1" ht="23.25" customHeight="1">
      <c r="A244" s="1133" t="s">
        <v>152</v>
      </c>
      <c r="B244" s="1133" t="s">
        <v>153</v>
      </c>
      <c r="C244" s="660">
        <f>192728+192727</f>
        <v>385455</v>
      </c>
      <c r="D244" s="661">
        <f>21414+21414</f>
        <v>42828</v>
      </c>
      <c r="E244" s="265">
        <v>385455</v>
      </c>
      <c r="F244" s="313">
        <v>42828</v>
      </c>
      <c r="G244" s="317">
        <v>428283</v>
      </c>
      <c r="H244" s="265">
        <v>42558.3</v>
      </c>
      <c r="I244" s="266">
        <v>42558.3</v>
      </c>
      <c r="J244" s="266">
        <v>4728.7</v>
      </c>
      <c r="K244" s="267">
        <v>4728.7</v>
      </c>
      <c r="L244" s="789">
        <f>SUM(H244:K249)</f>
        <v>406868.85</v>
      </c>
      <c r="M244" s="923">
        <f>L244/E245*100</f>
        <v>95</v>
      </c>
      <c r="N244" s="1077">
        <f>6049+6050+53855+35647+117749+59516</f>
        <v>278866</v>
      </c>
      <c r="O244" s="1251">
        <f>N244/E244*100</f>
        <v>72.34722600562971</v>
      </c>
      <c r="P244" s="1251">
        <f>101601+58875+58874+29758*2</f>
        <v>278866</v>
      </c>
      <c r="Q244" s="1312">
        <f>P244/E244*100</f>
        <v>72.34722600562971</v>
      </c>
      <c r="R244" s="538">
        <f>E244+F244</f>
        <v>428283</v>
      </c>
      <c r="S244" s="920">
        <f>P244/E244*100</f>
        <v>72.34722600562971</v>
      </c>
      <c r="T244" s="1251">
        <f>(E404-N404)/E404*100/9</f>
        <v>1.1430351511674663</v>
      </c>
      <c r="U244" s="292"/>
    </row>
    <row r="245" spans="1:24" s="91" customFormat="1" ht="23.25" customHeight="1" thickBot="1">
      <c r="A245" s="1134"/>
      <c r="B245" s="1134"/>
      <c r="C245" s="990">
        <f>C244+D244</f>
        <v>428283</v>
      </c>
      <c r="D245" s="991"/>
      <c r="E245" s="990">
        <v>428283</v>
      </c>
      <c r="F245" s="1277"/>
      <c r="G245" s="1269">
        <v>428283</v>
      </c>
      <c r="H245" s="287">
        <v>13834.96</v>
      </c>
      <c r="I245" s="288">
        <v>13834.96</v>
      </c>
      <c r="J245" s="288">
        <v>1537.23</v>
      </c>
      <c r="K245" s="285">
        <v>1537.22</v>
      </c>
      <c r="L245" s="790"/>
      <c r="M245" s="924"/>
      <c r="N245" s="1075"/>
      <c r="O245" s="1252"/>
      <c r="P245" s="1252"/>
      <c r="Q245" s="1303"/>
      <c r="R245" s="538"/>
      <c r="S245" s="921"/>
      <c r="T245" s="1252"/>
      <c r="U245" s="449"/>
      <c r="V245" s="269"/>
      <c r="W245" s="269"/>
      <c r="X245" s="269"/>
    </row>
    <row r="246" spans="1:24" s="91" customFormat="1" ht="23.25" customHeight="1" thickBot="1">
      <c r="A246" s="1134"/>
      <c r="B246" s="1134"/>
      <c r="C246" s="982"/>
      <c r="D246" s="983"/>
      <c r="E246" s="992"/>
      <c r="F246" s="1278"/>
      <c r="G246" s="1271"/>
      <c r="H246" s="287">
        <v>16511.28</v>
      </c>
      <c r="I246" s="288">
        <v>16511.28</v>
      </c>
      <c r="J246" s="288">
        <v>1834.59</v>
      </c>
      <c r="K246" s="285">
        <v>1834.59</v>
      </c>
      <c r="L246" s="790"/>
      <c r="M246" s="924"/>
      <c r="N246" s="1075"/>
      <c r="O246" s="1252"/>
      <c r="P246" s="1252"/>
      <c r="Q246" s="537"/>
      <c r="R246" s="538">
        <f>E245</f>
        <v>428283</v>
      </c>
      <c r="S246" s="921"/>
      <c r="T246" s="1253"/>
      <c r="U246" s="449"/>
      <c r="V246" s="269"/>
      <c r="W246" s="269"/>
      <c r="X246" s="269"/>
    </row>
    <row r="247" spans="1:24" s="91" customFormat="1" ht="23.25" customHeight="1">
      <c r="A247" s="1134"/>
      <c r="B247" s="1134"/>
      <c r="C247" s="359"/>
      <c r="D247" s="532"/>
      <c r="E247" s="992"/>
      <c r="F247" s="1278"/>
      <c r="G247" s="63"/>
      <c r="H247" s="287">
        <v>41607.39</v>
      </c>
      <c r="I247" s="288">
        <v>41607.39</v>
      </c>
      <c r="J247" s="288">
        <v>4623.04</v>
      </c>
      <c r="K247" s="285">
        <v>4623.04</v>
      </c>
      <c r="L247" s="790"/>
      <c r="M247" s="924"/>
      <c r="N247" s="1075"/>
      <c r="O247" s="1252"/>
      <c r="P247" s="1252"/>
      <c r="Q247" s="537"/>
      <c r="R247" s="538"/>
      <c r="S247" s="921"/>
      <c r="T247" s="588"/>
      <c r="U247" s="449"/>
      <c r="V247" s="269"/>
      <c r="W247" s="269"/>
      <c r="X247" s="269"/>
    </row>
    <row r="248" spans="1:24" s="91" customFormat="1" ht="23.25" customHeight="1" thickBot="1">
      <c r="A248" s="1134"/>
      <c r="B248" s="1134"/>
      <c r="C248" s="359"/>
      <c r="D248" s="532"/>
      <c r="E248" s="992"/>
      <c r="F248" s="1278"/>
      <c r="G248" s="63"/>
      <c r="H248" s="287">
        <v>66770.1</v>
      </c>
      <c r="I248" s="288">
        <v>66770.1</v>
      </c>
      <c r="J248" s="288">
        <v>7418.9</v>
      </c>
      <c r="K248" s="285">
        <v>7418.9</v>
      </c>
      <c r="L248" s="790"/>
      <c r="M248" s="924"/>
      <c r="N248" s="1075"/>
      <c r="O248" s="1252"/>
      <c r="P248" s="1252"/>
      <c r="Q248" s="537"/>
      <c r="R248" s="538"/>
      <c r="S248" s="921"/>
      <c r="T248" s="588"/>
      <c r="U248" s="449"/>
      <c r="V248" s="269"/>
      <c r="W248" s="269"/>
      <c r="X248" s="269"/>
    </row>
    <row r="249" spans="1:21" s="92" customFormat="1" ht="21.75" customHeight="1" thickBot="1">
      <c r="A249" s="1090"/>
      <c r="B249" s="1090"/>
      <c r="C249" s="359"/>
      <c r="D249" s="532"/>
      <c r="E249" s="982"/>
      <c r="F249" s="1279"/>
      <c r="G249" s="421"/>
      <c r="H249" s="307">
        <v>1809.57</v>
      </c>
      <c r="I249" s="308">
        <v>1808.62</v>
      </c>
      <c r="J249" s="308">
        <v>200.84</v>
      </c>
      <c r="K249" s="309">
        <v>200.85</v>
      </c>
      <c r="L249" s="766"/>
      <c r="M249" s="927"/>
      <c r="N249" s="1076"/>
      <c r="O249" s="1253"/>
      <c r="P249" s="1253"/>
      <c r="Q249" s="537"/>
      <c r="R249" s="538"/>
      <c r="S249" s="922"/>
      <c r="T249" s="1348">
        <f>(E157-N157)/E157*100/9</f>
        <v>3.786900298789705</v>
      </c>
      <c r="U249" s="538"/>
    </row>
    <row r="250" spans="1:21" s="92" customFormat="1" ht="21" customHeight="1" thickBot="1">
      <c r="A250" s="1133" t="s">
        <v>35</v>
      </c>
      <c r="B250" s="1097" t="s">
        <v>36</v>
      </c>
      <c r="C250" s="311">
        <v>277294</v>
      </c>
      <c r="D250" s="311">
        <v>48934</v>
      </c>
      <c r="E250" s="25">
        <v>301814.56</v>
      </c>
      <c r="F250" s="20">
        <v>53261.44</v>
      </c>
      <c r="G250" s="38">
        <v>355076</v>
      </c>
      <c r="H250" s="25">
        <v>60362.94</v>
      </c>
      <c r="I250" s="19">
        <v>60362.94</v>
      </c>
      <c r="J250" s="19">
        <v>10652.23</v>
      </c>
      <c r="K250" s="20">
        <v>10652.23</v>
      </c>
      <c r="L250" s="789">
        <f>SUM(H250:K253)</f>
        <v>286306.96999999986</v>
      </c>
      <c r="M250" s="1035">
        <f>L250/E251*100</f>
        <v>80.63258851626128</v>
      </c>
      <c r="N250" s="1160">
        <f>141840.101772555+30610+23057*2</f>
        <v>218564.101772555</v>
      </c>
      <c r="O250" s="1035">
        <f>N250/E250*100</f>
        <v>72.4166858525828</v>
      </c>
      <c r="P250" s="1035">
        <f>123272.57+15305*2+23057*2</f>
        <v>199996.57</v>
      </c>
      <c r="Q250" s="923">
        <f>P250/E250*100</f>
        <v>66.26471897180839</v>
      </c>
      <c r="R250" s="419">
        <f>E250+F250</f>
        <v>355076</v>
      </c>
      <c r="S250" s="920">
        <f>P250/E250*100</f>
        <v>66.26471897180839</v>
      </c>
      <c r="T250" s="1349"/>
      <c r="U250" s="538"/>
    </row>
    <row r="251" spans="1:21" s="93" customFormat="1" ht="16.5" customHeight="1">
      <c r="A251" s="1134"/>
      <c r="B251" s="1059"/>
      <c r="C251" s="990">
        <f>SUM(C250:D250)</f>
        <v>326228</v>
      </c>
      <c r="D251" s="991"/>
      <c r="E251" s="990">
        <v>355076</v>
      </c>
      <c r="F251" s="991"/>
      <c r="G251" s="1254">
        <v>355076</v>
      </c>
      <c r="H251" s="34">
        <v>58879.17</v>
      </c>
      <c r="I251" s="33">
        <v>58879.17</v>
      </c>
      <c r="J251" s="33">
        <v>10390.44</v>
      </c>
      <c r="K251" s="35">
        <v>10390.44</v>
      </c>
      <c r="L251" s="790"/>
      <c r="M251" s="1036"/>
      <c r="N251" s="1161"/>
      <c r="O251" s="1036"/>
      <c r="P251" s="1036"/>
      <c r="Q251" s="924"/>
      <c r="R251" s="354"/>
      <c r="S251" s="921"/>
      <c r="T251" s="588"/>
      <c r="U251" s="363"/>
    </row>
    <row r="252" spans="1:21" s="93" customFormat="1" ht="16.5" customHeight="1" thickBot="1">
      <c r="A252" s="1134"/>
      <c r="B252" s="1059"/>
      <c r="C252" s="992"/>
      <c r="D252" s="993"/>
      <c r="E252" s="992"/>
      <c r="F252" s="993"/>
      <c r="G252" s="1255"/>
      <c r="H252" s="12">
        <v>1622.97</v>
      </c>
      <c r="I252" s="11">
        <v>1622.97</v>
      </c>
      <c r="J252" s="11">
        <v>286.41</v>
      </c>
      <c r="K252" s="13">
        <v>286.41</v>
      </c>
      <c r="L252" s="790"/>
      <c r="M252" s="1036"/>
      <c r="N252" s="1161"/>
      <c r="O252" s="1036"/>
      <c r="P252" s="1036"/>
      <c r="Q252" s="927"/>
      <c r="R252" s="420"/>
      <c r="S252" s="921"/>
      <c r="T252" s="588"/>
      <c r="U252" s="363"/>
    </row>
    <row r="253" spans="1:21" s="93" customFormat="1" ht="16.5" customHeight="1" thickBot="1">
      <c r="A253" s="1090"/>
      <c r="B253" s="1060"/>
      <c r="C253" s="982"/>
      <c r="D253" s="983"/>
      <c r="E253" s="982"/>
      <c r="F253" s="983"/>
      <c r="G253" s="1263"/>
      <c r="H253" s="26">
        <v>815.42</v>
      </c>
      <c r="I253" s="27">
        <v>815.42</v>
      </c>
      <c r="J253" s="27">
        <v>143.91</v>
      </c>
      <c r="K253" s="28">
        <v>143.9</v>
      </c>
      <c r="L253" s="766"/>
      <c r="M253" s="1027"/>
      <c r="N253" s="1126"/>
      <c r="O253" s="1027"/>
      <c r="P253" s="1027"/>
      <c r="Q253" s="281"/>
      <c r="R253" s="420">
        <f>E251</f>
        <v>355076</v>
      </c>
      <c r="S253" s="922"/>
      <c r="T253" s="588"/>
      <c r="U253" s="363"/>
    </row>
    <row r="254" spans="1:21" s="93" customFormat="1" ht="16.5" customHeight="1">
      <c r="A254" s="1133" t="s">
        <v>144</v>
      </c>
      <c r="B254" s="1133" t="s">
        <v>143</v>
      </c>
      <c r="C254" s="265">
        <v>316361</v>
      </c>
      <c r="D254" s="685">
        <v>55828</v>
      </c>
      <c r="E254" s="25">
        <v>350426.76</v>
      </c>
      <c r="F254" s="368">
        <v>61840.04</v>
      </c>
      <c r="G254" s="185">
        <v>412266.8</v>
      </c>
      <c r="H254" s="25">
        <v>15067.02</v>
      </c>
      <c r="I254" s="19">
        <v>15067.02</v>
      </c>
      <c r="J254" s="19">
        <v>2658.89</v>
      </c>
      <c r="K254" s="20">
        <v>2658.89</v>
      </c>
      <c r="L254" s="789">
        <f>SUM(H254:K260)</f>
        <v>391653.37</v>
      </c>
      <c r="M254" s="923">
        <f>L254/E255*100</f>
        <v>94.99997816947666</v>
      </c>
      <c r="N254" s="1160">
        <f>120093.03+67053*2</f>
        <v>254199.03</v>
      </c>
      <c r="O254" s="1035">
        <f>N254/E254*100</f>
        <v>72.53984541591515</v>
      </c>
      <c r="P254" s="1035">
        <f>74423+22758+22758+67053*2</f>
        <v>254045</v>
      </c>
      <c r="Q254" s="1386">
        <f>P254/E254*100</f>
        <v>72.49589043941735</v>
      </c>
      <c r="R254" s="611">
        <f>E254+F254</f>
        <v>412266.8</v>
      </c>
      <c r="S254" s="923">
        <f>P254/E254*100</f>
        <v>72.49589043941735</v>
      </c>
      <c r="T254" s="588"/>
      <c r="U254" s="363"/>
    </row>
    <row r="255" spans="1:21" s="93" customFormat="1" ht="16.5" customHeight="1" thickBot="1">
      <c r="A255" s="1134"/>
      <c r="B255" s="1134"/>
      <c r="C255" s="1119">
        <f>SUM(C254:D254)</f>
        <v>372189</v>
      </c>
      <c r="D255" s="1120"/>
      <c r="E255" s="1119">
        <v>412266.8</v>
      </c>
      <c r="F255" s="1065"/>
      <c r="G255" s="1441">
        <v>412266.8</v>
      </c>
      <c r="H255" s="30">
        <v>4250</v>
      </c>
      <c r="I255" s="31">
        <v>4250</v>
      </c>
      <c r="J255" s="31">
        <v>750</v>
      </c>
      <c r="K255" s="32">
        <v>750</v>
      </c>
      <c r="L255" s="790"/>
      <c r="M255" s="924"/>
      <c r="N255" s="1161"/>
      <c r="O255" s="1036"/>
      <c r="P255" s="1036"/>
      <c r="Q255" s="1387"/>
      <c r="R255" s="680"/>
      <c r="S255" s="924"/>
      <c r="T255" s="588"/>
      <c r="U255" s="363"/>
    </row>
    <row r="256" spans="1:21" s="93" customFormat="1" ht="16.5" customHeight="1" thickBot="1">
      <c r="A256" s="1134"/>
      <c r="B256" s="1134"/>
      <c r="C256" s="905"/>
      <c r="D256" s="906"/>
      <c r="E256" s="1121"/>
      <c r="F256" s="1058"/>
      <c r="G256" s="1442"/>
      <c r="H256" s="34">
        <v>37400</v>
      </c>
      <c r="I256" s="33">
        <v>37400</v>
      </c>
      <c r="J256" s="33">
        <v>6600</v>
      </c>
      <c r="K256" s="43">
        <v>6600</v>
      </c>
      <c r="L256" s="790"/>
      <c r="M256" s="924"/>
      <c r="N256" s="1161"/>
      <c r="O256" s="1036"/>
      <c r="P256" s="1036"/>
      <c r="Q256" s="537"/>
      <c r="R256" s="680">
        <f>E255</f>
        <v>412266.8</v>
      </c>
      <c r="S256" s="924"/>
      <c r="T256" s="588"/>
      <c r="U256" s="363"/>
    </row>
    <row r="257" spans="1:21" s="92" customFormat="1" ht="21" customHeight="1">
      <c r="A257" s="1134"/>
      <c r="B257" s="1134"/>
      <c r="C257" s="40"/>
      <c r="D257" s="41"/>
      <c r="E257" s="1121"/>
      <c r="F257" s="1058"/>
      <c r="G257" s="434"/>
      <c r="H257" s="34">
        <v>20382.23</v>
      </c>
      <c r="I257" s="33">
        <v>20382.23</v>
      </c>
      <c r="J257" s="33">
        <v>3596.88</v>
      </c>
      <c r="K257" s="43">
        <v>3596.87</v>
      </c>
      <c r="L257" s="790"/>
      <c r="M257" s="924"/>
      <c r="N257" s="1161"/>
      <c r="O257" s="1036"/>
      <c r="P257" s="1036"/>
      <c r="Q257" s="537"/>
      <c r="R257" s="680"/>
      <c r="S257" s="924"/>
      <c r="T257" s="588"/>
      <c r="U257" s="538"/>
    </row>
    <row r="258" spans="1:21" s="92" customFormat="1" ht="21" customHeight="1" thickBot="1">
      <c r="A258" s="1134"/>
      <c r="B258" s="1134"/>
      <c r="C258" s="53"/>
      <c r="D258" s="47"/>
      <c r="E258" s="1121"/>
      <c r="F258" s="1058"/>
      <c r="G258" s="540"/>
      <c r="H258" s="34">
        <v>23076.54</v>
      </c>
      <c r="I258" s="33">
        <v>23076.54</v>
      </c>
      <c r="J258" s="33">
        <v>4072.34</v>
      </c>
      <c r="K258" s="43">
        <v>4072.33</v>
      </c>
      <c r="L258" s="790"/>
      <c r="M258" s="924"/>
      <c r="N258" s="1161"/>
      <c r="O258" s="1036"/>
      <c r="P258" s="1036"/>
      <c r="Q258" s="614"/>
      <c r="R258" s="612"/>
      <c r="S258" s="924"/>
      <c r="T258" s="588"/>
      <c r="U258" s="538"/>
    </row>
    <row r="259" spans="1:21" s="91" customFormat="1" ht="18.75" customHeight="1" thickBot="1">
      <c r="A259" s="1134"/>
      <c r="B259" s="1134"/>
      <c r="C259" s="53"/>
      <c r="D259" s="47"/>
      <c r="E259" s="1121"/>
      <c r="F259" s="1058"/>
      <c r="G259" s="540"/>
      <c r="H259" s="34">
        <v>29961</v>
      </c>
      <c r="I259" s="33">
        <v>29961</v>
      </c>
      <c r="J259" s="33">
        <v>5287.24</v>
      </c>
      <c r="K259" s="43">
        <v>5287.23</v>
      </c>
      <c r="L259" s="790"/>
      <c r="M259" s="924"/>
      <c r="N259" s="1161"/>
      <c r="O259" s="1036"/>
      <c r="P259" s="1036"/>
      <c r="Q259" s="537"/>
      <c r="R259" s="680"/>
      <c r="S259" s="924"/>
      <c r="T259" s="1251">
        <f>(E185-N185)/E185*100/9</f>
        <v>3.7650532899006564</v>
      </c>
      <c r="U259" s="292"/>
    </row>
    <row r="260" spans="1:21" s="91" customFormat="1" ht="18.75" customHeight="1" thickBot="1">
      <c r="A260" s="1090"/>
      <c r="B260" s="1090"/>
      <c r="C260" s="40"/>
      <c r="D260" s="41"/>
      <c r="E260" s="905"/>
      <c r="F260" s="1264"/>
      <c r="G260" s="434"/>
      <c r="H260" s="26">
        <v>36315.88</v>
      </c>
      <c r="I260" s="27">
        <v>36315.88</v>
      </c>
      <c r="J260" s="27">
        <v>6408.68</v>
      </c>
      <c r="K260" s="48">
        <v>6408.68</v>
      </c>
      <c r="L260" s="766"/>
      <c r="M260" s="927"/>
      <c r="N260" s="1126"/>
      <c r="O260" s="1027"/>
      <c r="P260" s="1027"/>
      <c r="Q260" s="537"/>
      <c r="R260" s="680"/>
      <c r="S260" s="927"/>
      <c r="T260" s="1252"/>
      <c r="U260" s="292"/>
    </row>
    <row r="261" spans="1:21" s="91" customFormat="1" ht="18.75" customHeight="1">
      <c r="A261" s="1133" t="s">
        <v>15</v>
      </c>
      <c r="B261" s="1097" t="s">
        <v>16</v>
      </c>
      <c r="C261" s="311">
        <v>322252</v>
      </c>
      <c r="D261" s="415">
        <v>56868</v>
      </c>
      <c r="E261" s="19">
        <v>356952.48</v>
      </c>
      <c r="F261" s="19">
        <v>62991.62</v>
      </c>
      <c r="G261" s="38">
        <v>419944.1</v>
      </c>
      <c r="H261" s="25">
        <v>36145.77</v>
      </c>
      <c r="I261" s="19">
        <v>36145.77</v>
      </c>
      <c r="J261" s="19">
        <v>6378.66</v>
      </c>
      <c r="K261" s="20">
        <v>6378.66</v>
      </c>
      <c r="L261" s="1262">
        <f>SUM(H261:K265)</f>
        <v>352075.12000000005</v>
      </c>
      <c r="M261" s="1251">
        <f>L261/E262*100</f>
        <v>83.83856803798412</v>
      </c>
      <c r="N261" s="1077">
        <f>245385.7+1522+1521+6035*2</f>
        <v>260498.7</v>
      </c>
      <c r="O261" s="1251">
        <f>N261/E261*100</f>
        <v>72.97853764736416</v>
      </c>
      <c r="P261" s="1251">
        <f>244398.788953064+6035*2</f>
        <v>256468.788953064</v>
      </c>
      <c r="Q261" s="1339">
        <f>P261/E261*100</f>
        <v>71.84956074631111</v>
      </c>
      <c r="R261" s="363">
        <f>E261+F261</f>
        <v>419944.1</v>
      </c>
      <c r="S261" s="920">
        <f>P261/E261*100</f>
        <v>71.84956074631111</v>
      </c>
      <c r="T261" s="1252"/>
      <c r="U261" s="292"/>
    </row>
    <row r="262" spans="1:21" s="91" customFormat="1" ht="18.75" customHeight="1">
      <c r="A262" s="1134"/>
      <c r="B262" s="1059"/>
      <c r="C262" s="1119">
        <f>SUM(C261:D261)</f>
        <v>379120</v>
      </c>
      <c r="D262" s="1120"/>
      <c r="E262" s="990">
        <v>419944.1</v>
      </c>
      <c r="F262" s="991"/>
      <c r="G262" s="1249">
        <v>419944.1</v>
      </c>
      <c r="H262" s="34">
        <v>25236.51</v>
      </c>
      <c r="I262" s="33">
        <v>25236.51</v>
      </c>
      <c r="J262" s="33">
        <v>4453.5</v>
      </c>
      <c r="K262" s="35">
        <v>4453.5</v>
      </c>
      <c r="L262" s="1255"/>
      <c r="M262" s="1252"/>
      <c r="N262" s="1075"/>
      <c r="O262" s="1252"/>
      <c r="P262" s="1252"/>
      <c r="Q262" s="1356"/>
      <c r="R262" s="363"/>
      <c r="S262" s="921"/>
      <c r="T262" s="1252"/>
      <c r="U262" s="292"/>
    </row>
    <row r="263" spans="1:21" s="91" customFormat="1" ht="18.75" customHeight="1" thickBot="1">
      <c r="A263" s="1134"/>
      <c r="B263" s="1059"/>
      <c r="C263" s="1121"/>
      <c r="D263" s="1122"/>
      <c r="E263" s="992"/>
      <c r="F263" s="993"/>
      <c r="G263" s="1443"/>
      <c r="H263" s="34">
        <v>37929.47</v>
      </c>
      <c r="I263" s="33">
        <v>37929.47</v>
      </c>
      <c r="J263" s="33">
        <v>6693.44</v>
      </c>
      <c r="K263" s="35">
        <v>6693.44</v>
      </c>
      <c r="L263" s="1255"/>
      <c r="M263" s="1252"/>
      <c r="N263" s="1075"/>
      <c r="O263" s="1252"/>
      <c r="P263" s="1252"/>
      <c r="Q263" s="1340"/>
      <c r="R263" s="363"/>
      <c r="S263" s="921"/>
      <c r="T263" s="1252"/>
      <c r="U263" s="292"/>
    </row>
    <row r="264" spans="1:21" s="91" customFormat="1" ht="18.75" customHeight="1">
      <c r="A264" s="1134"/>
      <c r="B264" s="1059"/>
      <c r="C264" s="1121"/>
      <c r="D264" s="1122"/>
      <c r="E264" s="992"/>
      <c r="F264" s="993"/>
      <c r="G264" s="1443"/>
      <c r="H264" s="34">
        <v>27112.56</v>
      </c>
      <c r="I264" s="33">
        <v>27112.56</v>
      </c>
      <c r="J264" s="33">
        <v>4784.57</v>
      </c>
      <c r="K264" s="35">
        <v>4784.57</v>
      </c>
      <c r="L264" s="1255"/>
      <c r="M264" s="1252"/>
      <c r="N264" s="1075"/>
      <c r="O264" s="1252"/>
      <c r="P264" s="1252"/>
      <c r="Q264" s="315"/>
      <c r="R264" s="363"/>
      <c r="S264" s="921"/>
      <c r="T264" s="1252"/>
      <c r="U264" s="292"/>
    </row>
    <row r="265" spans="1:21" s="91" customFormat="1" ht="18.75" customHeight="1" thickBot="1">
      <c r="A265" s="1090"/>
      <c r="B265" s="1060"/>
      <c r="C265" s="905"/>
      <c r="D265" s="906"/>
      <c r="E265" s="982"/>
      <c r="F265" s="983"/>
      <c r="G265" s="1250"/>
      <c r="H265" s="30">
        <v>23207.62</v>
      </c>
      <c r="I265" s="31">
        <v>23207.62</v>
      </c>
      <c r="J265" s="31">
        <v>4095.46</v>
      </c>
      <c r="K265" s="32">
        <v>4095.46</v>
      </c>
      <c r="L265" s="1263"/>
      <c r="M265" s="1253"/>
      <c r="N265" s="1076"/>
      <c r="O265" s="1253"/>
      <c r="P265" s="1253"/>
      <c r="Q265" s="315"/>
      <c r="R265" s="363">
        <f>E262</f>
        <v>419944.1</v>
      </c>
      <c r="S265" s="922"/>
      <c r="T265" s="1253"/>
      <c r="U265" s="292"/>
    </row>
    <row r="266" spans="1:21" s="92" customFormat="1" ht="19.5" customHeight="1">
      <c r="A266" s="1133" t="s">
        <v>59</v>
      </c>
      <c r="B266" s="1133" t="s">
        <v>60</v>
      </c>
      <c r="C266" s="25">
        <v>349850</v>
      </c>
      <c r="D266" s="20">
        <v>61738</v>
      </c>
      <c r="E266" s="265">
        <v>352044.74</v>
      </c>
      <c r="F266" s="433">
        <v>62125.58</v>
      </c>
      <c r="G266" s="317">
        <v>414170.32</v>
      </c>
      <c r="H266" s="25">
        <v>61852.95</v>
      </c>
      <c r="I266" s="19">
        <v>61852.95</v>
      </c>
      <c r="J266" s="19">
        <v>10915.23</v>
      </c>
      <c r="K266" s="20">
        <v>10915.23</v>
      </c>
      <c r="L266" s="789">
        <f>SUM(H266:K270)</f>
        <v>393461.81000000006</v>
      </c>
      <c r="M266" s="1035">
        <f>L266/E267*100</f>
        <v>95.00000144867938</v>
      </c>
      <c r="N266" s="1160">
        <f>163543.675230698+58969+36304+9121*2</f>
        <v>277058.67523069796</v>
      </c>
      <c r="O266" s="1035">
        <f>N266/E266*100</f>
        <v>78.69984798826933</v>
      </c>
      <c r="P266" s="1035">
        <f>163483+29484+29485+18152*2+9121*2</f>
        <v>276998</v>
      </c>
      <c r="Q266" s="1339">
        <f>P266/E266*100</f>
        <v>78.68261289744025</v>
      </c>
      <c r="R266" s="363">
        <f>E266+F266</f>
        <v>414170.32</v>
      </c>
      <c r="S266" s="923">
        <f>P266/E266*100</f>
        <v>78.68261289744025</v>
      </c>
      <c r="T266" s="1251">
        <f>(E530-N530)/E530*100/9</f>
        <v>0.6027136400707468</v>
      </c>
      <c r="U266" s="538"/>
    </row>
    <row r="267" spans="1:21" s="92" customFormat="1" ht="19.5" customHeight="1" thickBot="1">
      <c r="A267" s="1134"/>
      <c r="B267" s="1134"/>
      <c r="C267" s="1119">
        <f>SUM(C266:D266)</f>
        <v>411588</v>
      </c>
      <c r="D267" s="1120"/>
      <c r="E267" s="1119">
        <v>414170.32</v>
      </c>
      <c r="F267" s="1120"/>
      <c r="G267" s="1448">
        <v>414170.32</v>
      </c>
      <c r="H267" s="34">
        <v>4336.89</v>
      </c>
      <c r="I267" s="33">
        <v>4336.89</v>
      </c>
      <c r="J267" s="33">
        <v>765.33</v>
      </c>
      <c r="K267" s="35">
        <v>765.33</v>
      </c>
      <c r="L267" s="790"/>
      <c r="M267" s="1036"/>
      <c r="N267" s="1161"/>
      <c r="O267" s="1036"/>
      <c r="P267" s="1036"/>
      <c r="Q267" s="1340"/>
      <c r="R267" s="363"/>
      <c r="S267" s="924"/>
      <c r="T267" s="1252"/>
      <c r="U267" s="538"/>
    </row>
    <row r="268" spans="1:21" s="92" customFormat="1" ht="19.5" customHeight="1" thickBot="1">
      <c r="A268" s="1134"/>
      <c r="B268" s="1134"/>
      <c r="C268" s="1121"/>
      <c r="D268" s="1122"/>
      <c r="E268" s="1121"/>
      <c r="F268" s="1122"/>
      <c r="G268" s="766"/>
      <c r="H268" s="34">
        <v>29812.9</v>
      </c>
      <c r="I268" s="33">
        <v>29812.9</v>
      </c>
      <c r="J268" s="33">
        <v>5261.1</v>
      </c>
      <c r="K268" s="35">
        <v>5261.1</v>
      </c>
      <c r="L268" s="790"/>
      <c r="M268" s="1036"/>
      <c r="N268" s="1161"/>
      <c r="O268" s="1036"/>
      <c r="P268" s="1036"/>
      <c r="Q268" s="315"/>
      <c r="R268" s="363">
        <f>E267</f>
        <v>414170.32</v>
      </c>
      <c r="S268" s="924"/>
      <c r="T268" s="1252"/>
      <c r="U268" s="538"/>
    </row>
    <row r="269" spans="1:21" s="92" customFormat="1" ht="19.5" customHeight="1" thickBot="1">
      <c r="A269" s="1134"/>
      <c r="B269" s="1134"/>
      <c r="C269" s="905"/>
      <c r="D269" s="906"/>
      <c r="E269" s="1121"/>
      <c r="F269" s="1122"/>
      <c r="G269" s="422"/>
      <c r="H269" s="34">
        <v>56176.64</v>
      </c>
      <c r="I269" s="33">
        <v>56176.64</v>
      </c>
      <c r="J269" s="33">
        <v>9913.54</v>
      </c>
      <c r="K269" s="35">
        <v>9913.53</v>
      </c>
      <c r="L269" s="790"/>
      <c r="M269" s="1036"/>
      <c r="N269" s="1161"/>
      <c r="O269" s="1036"/>
      <c r="P269" s="1036"/>
      <c r="Q269" s="315"/>
      <c r="R269" s="363"/>
      <c r="S269" s="924"/>
      <c r="T269" s="1252"/>
      <c r="U269" s="538"/>
    </row>
    <row r="270" spans="1:21" s="92" customFormat="1" ht="19.5" customHeight="1" thickBot="1">
      <c r="A270" s="1090"/>
      <c r="B270" s="1090"/>
      <c r="C270" s="531"/>
      <c r="D270" s="581"/>
      <c r="E270" s="905"/>
      <c r="F270" s="906"/>
      <c r="G270" s="362"/>
      <c r="H270" s="30">
        <v>15041.88</v>
      </c>
      <c r="I270" s="31">
        <v>15041.88</v>
      </c>
      <c r="J270" s="31">
        <v>2654.45</v>
      </c>
      <c r="K270" s="32">
        <v>2654.45</v>
      </c>
      <c r="L270" s="766"/>
      <c r="M270" s="1027"/>
      <c r="N270" s="1126"/>
      <c r="O270" s="1027"/>
      <c r="P270" s="1027"/>
      <c r="Q270" s="315"/>
      <c r="R270" s="363"/>
      <c r="S270" s="927"/>
      <c r="T270" s="1253"/>
      <c r="U270" s="538"/>
    </row>
    <row r="271" spans="1:21" s="92" customFormat="1" ht="19.5" customHeight="1">
      <c r="A271" s="1133" t="s">
        <v>13</v>
      </c>
      <c r="B271" s="1097" t="s">
        <v>14</v>
      </c>
      <c r="C271" s="311">
        <v>555499</v>
      </c>
      <c r="D271" s="311">
        <v>98029</v>
      </c>
      <c r="E271" s="25">
        <v>615315.54</v>
      </c>
      <c r="F271" s="20">
        <v>108585.1</v>
      </c>
      <c r="G271" s="38">
        <v>723900.64</v>
      </c>
      <c r="H271" s="25">
        <v>0</v>
      </c>
      <c r="I271" s="19">
        <v>76798.63041890725</v>
      </c>
      <c r="J271" s="19">
        <v>0</v>
      </c>
      <c r="K271" s="20">
        <v>13552.699329482839</v>
      </c>
      <c r="L271" s="789">
        <f>SUM(H271:K274)</f>
        <v>687705.60974839</v>
      </c>
      <c r="M271" s="1035">
        <f>L271/E272*100</f>
        <v>95.00000024152348</v>
      </c>
      <c r="N271" s="1077">
        <f>16798.69+59568+397654+23374</f>
        <v>497394.69</v>
      </c>
      <c r="O271" s="1251">
        <f>N271/E271*100</f>
        <v>80.83571073144033</v>
      </c>
      <c r="P271" s="1251">
        <f>76135+397654</f>
        <v>473789</v>
      </c>
      <c r="Q271" s="920">
        <f>P271/E271*100</f>
        <v>76.99935548515482</v>
      </c>
      <c r="R271" s="292">
        <f>E271+F271</f>
        <v>723900.64</v>
      </c>
      <c r="S271" s="920">
        <f>P271/E271*100</f>
        <v>76.99935548515482</v>
      </c>
      <c r="T271" s="588"/>
      <c r="U271" s="538"/>
    </row>
    <row r="272" spans="1:21" s="92" customFormat="1" ht="19.5" customHeight="1" thickBot="1">
      <c r="A272" s="1134"/>
      <c r="B272" s="1059"/>
      <c r="C272" s="990">
        <f>SUM(C271:D271)</f>
        <v>653528</v>
      </c>
      <c r="D272" s="991"/>
      <c r="E272" s="990">
        <v>723900.64</v>
      </c>
      <c r="F272" s="991"/>
      <c r="G272" s="1249">
        <v>723900.64</v>
      </c>
      <c r="H272" s="34">
        <v>0</v>
      </c>
      <c r="I272" s="33">
        <v>147761.65</v>
      </c>
      <c r="J272" s="33">
        <v>0</v>
      </c>
      <c r="K272" s="35">
        <v>26075.59</v>
      </c>
      <c r="L272" s="790"/>
      <c r="M272" s="1036"/>
      <c r="N272" s="1075"/>
      <c r="O272" s="1252"/>
      <c r="P272" s="1252"/>
      <c r="Q272" s="921"/>
      <c r="R272" s="292"/>
      <c r="S272" s="921"/>
      <c r="T272" s="588"/>
      <c r="U272" s="538"/>
    </row>
    <row r="273" spans="1:21" s="93" customFormat="1" ht="24" customHeight="1" thickBot="1">
      <c r="A273" s="1134"/>
      <c r="B273" s="1059"/>
      <c r="C273" s="982"/>
      <c r="D273" s="983"/>
      <c r="E273" s="992"/>
      <c r="F273" s="993"/>
      <c r="G273" s="1250"/>
      <c r="H273" s="34">
        <v>0</v>
      </c>
      <c r="I273" s="33">
        <v>98005</v>
      </c>
      <c r="J273" s="33">
        <v>0</v>
      </c>
      <c r="K273" s="35">
        <v>17295</v>
      </c>
      <c r="L273" s="790"/>
      <c r="M273" s="1036"/>
      <c r="N273" s="1075"/>
      <c r="O273" s="1252"/>
      <c r="P273" s="1252"/>
      <c r="Q273" s="922"/>
      <c r="R273" s="292">
        <f>E272</f>
        <v>723900.64</v>
      </c>
      <c r="S273" s="921"/>
      <c r="T273" s="1251">
        <f>(E223-N223)/E223*100/9</f>
        <v>3.124628183434318</v>
      </c>
      <c r="U273" s="363"/>
    </row>
    <row r="274" spans="1:21" s="93" customFormat="1" ht="24" customHeight="1" thickBot="1">
      <c r="A274" s="1090"/>
      <c r="B274" s="1060"/>
      <c r="C274" s="359"/>
      <c r="D274" s="532"/>
      <c r="E274" s="982"/>
      <c r="F274" s="983"/>
      <c r="G274" s="115"/>
      <c r="H274" s="30">
        <v>0</v>
      </c>
      <c r="I274" s="31">
        <v>261984.48</v>
      </c>
      <c r="J274" s="31">
        <v>0</v>
      </c>
      <c r="K274" s="32">
        <v>46232.56</v>
      </c>
      <c r="L274" s="766"/>
      <c r="M274" s="1027"/>
      <c r="N274" s="1076"/>
      <c r="O274" s="1253"/>
      <c r="P274" s="1253"/>
      <c r="Q274" s="314"/>
      <c r="R274" s="292"/>
      <c r="S274" s="922"/>
      <c r="T274" s="1252"/>
      <c r="U274" s="363"/>
    </row>
    <row r="275" spans="1:21" s="93" customFormat="1" ht="24" customHeight="1" thickBot="1">
      <c r="A275" s="1133" t="s">
        <v>47</v>
      </c>
      <c r="B275" s="1133" t="s">
        <v>48</v>
      </c>
      <c r="C275" s="266">
        <v>343021</v>
      </c>
      <c r="D275" s="266">
        <v>62595</v>
      </c>
      <c r="E275" s="25">
        <v>371326.7</v>
      </c>
      <c r="F275" s="20">
        <v>67760.35</v>
      </c>
      <c r="G275" s="38">
        <v>439087.05000000005</v>
      </c>
      <c r="H275" s="25">
        <v>0</v>
      </c>
      <c r="I275" s="19">
        <v>145154.23089689968</v>
      </c>
      <c r="J275" s="19">
        <v>0</v>
      </c>
      <c r="K275" s="39">
        <v>26487.99840669189</v>
      </c>
      <c r="L275" s="789">
        <f>SUM(H275:K279)</f>
        <v>360656.18930359156</v>
      </c>
      <c r="M275" s="1035">
        <f>L275/E276*100</f>
        <v>82.13774223211354</v>
      </c>
      <c r="N275" s="1160">
        <f>156673.47+19448+104371+20865</f>
        <v>301357.47</v>
      </c>
      <c r="O275" s="1160">
        <f>N275/E275*100</f>
        <v>81.15696231916529</v>
      </c>
      <c r="P275" s="1035">
        <f>156408+19448+104371</f>
        <v>280227</v>
      </c>
      <c r="Q275" s="923">
        <f>(P275/E275)*100</f>
        <v>75.46642888863096</v>
      </c>
      <c r="R275" s="450">
        <f>E275+F275</f>
        <v>439087.05000000005</v>
      </c>
      <c r="S275" s="923">
        <f>P275/E275*100</f>
        <v>75.46642888863096</v>
      </c>
      <c r="T275" s="1253"/>
      <c r="U275" s="363"/>
    </row>
    <row r="276" spans="1:21" s="93" customFormat="1" ht="24" customHeight="1">
      <c r="A276" s="1134"/>
      <c r="B276" s="1134"/>
      <c r="C276" s="990">
        <f>C275+D275</f>
        <v>405616</v>
      </c>
      <c r="D276" s="991"/>
      <c r="E276" s="1119">
        <v>439087.05000000005</v>
      </c>
      <c r="F276" s="1065"/>
      <c r="G276" s="1254">
        <v>439087.05000000005</v>
      </c>
      <c r="H276" s="34">
        <v>0</v>
      </c>
      <c r="I276" s="33">
        <v>31337.47</v>
      </c>
      <c r="J276" s="33">
        <v>0</v>
      </c>
      <c r="K276" s="43">
        <v>5718.52</v>
      </c>
      <c r="L276" s="790"/>
      <c r="M276" s="1036"/>
      <c r="N276" s="1161"/>
      <c r="O276" s="1161"/>
      <c r="P276" s="1036"/>
      <c r="Q276" s="924"/>
      <c r="R276" s="420"/>
      <c r="S276" s="924"/>
      <c r="T276" s="588"/>
      <c r="U276" s="363"/>
    </row>
    <row r="277" spans="1:21" s="93" customFormat="1" ht="24" customHeight="1" thickBot="1">
      <c r="A277" s="1134"/>
      <c r="B277" s="1134"/>
      <c r="C277" s="982"/>
      <c r="D277" s="983"/>
      <c r="E277" s="1121"/>
      <c r="F277" s="1058"/>
      <c r="G277" s="1263"/>
      <c r="H277" s="34">
        <v>0</v>
      </c>
      <c r="I277" s="33">
        <v>19602.43</v>
      </c>
      <c r="J277" s="33">
        <v>0</v>
      </c>
      <c r="K277" s="43">
        <v>3577.09</v>
      </c>
      <c r="L277" s="790"/>
      <c r="M277" s="1036"/>
      <c r="N277" s="1161"/>
      <c r="O277" s="1161"/>
      <c r="P277" s="1036"/>
      <c r="Q277" s="281"/>
      <c r="R277" s="420">
        <f>E276</f>
        <v>439087.05000000005</v>
      </c>
      <c r="S277" s="924"/>
      <c r="T277" s="588"/>
      <c r="U277" s="363"/>
    </row>
    <row r="278" spans="1:20" ht="14.25" customHeight="1" thickBot="1">
      <c r="A278" s="1134"/>
      <c r="B278" s="1134"/>
      <c r="C278" s="598"/>
      <c r="D278" s="608"/>
      <c r="E278" s="1121"/>
      <c r="F278" s="1058"/>
      <c r="G278" s="421"/>
      <c r="H278" s="34">
        <v>0</v>
      </c>
      <c r="I278" s="33">
        <v>87040.03</v>
      </c>
      <c r="J278" s="33">
        <v>0</v>
      </c>
      <c r="K278" s="43">
        <v>15883.22</v>
      </c>
      <c r="L278" s="790"/>
      <c r="M278" s="1036"/>
      <c r="N278" s="1161"/>
      <c r="O278" s="1161"/>
      <c r="P278" s="1036"/>
      <c r="Q278" s="615"/>
      <c r="R278" s="451"/>
      <c r="S278" s="924"/>
      <c r="T278" s="1367">
        <f>(E228-N228)/E228*100/9</f>
        <v>3.074585381698785</v>
      </c>
    </row>
    <row r="279" spans="1:20" ht="21.75" customHeight="1" thickBot="1">
      <c r="A279" s="1090"/>
      <c r="B279" s="1090"/>
      <c r="C279" s="359"/>
      <c r="D279" s="532"/>
      <c r="E279" s="905"/>
      <c r="F279" s="1264"/>
      <c r="G279" s="63"/>
      <c r="H279" s="30">
        <v>0</v>
      </c>
      <c r="I279" s="31">
        <v>21865.2</v>
      </c>
      <c r="J279" s="31">
        <v>0</v>
      </c>
      <c r="K279" s="41">
        <v>3990</v>
      </c>
      <c r="L279" s="766"/>
      <c r="M279" s="1027"/>
      <c r="N279" s="1126"/>
      <c r="O279" s="1126"/>
      <c r="P279" s="1027"/>
      <c r="Q279" s="281"/>
      <c r="R279" s="420"/>
      <c r="S279" s="927"/>
      <c r="T279" s="1368"/>
    </row>
    <row r="280" spans="1:20" ht="18.75" customHeight="1" thickBot="1">
      <c r="A280" s="1133" t="s">
        <v>247</v>
      </c>
      <c r="B280" s="1097" t="s">
        <v>246</v>
      </c>
      <c r="C280" s="265">
        <f>219720*2</f>
        <v>439440</v>
      </c>
      <c r="D280" s="267">
        <f>38774*2</f>
        <v>77548</v>
      </c>
      <c r="E280" s="265">
        <v>439440</v>
      </c>
      <c r="F280" s="433">
        <v>77548</v>
      </c>
      <c r="G280" s="317">
        <v>516988</v>
      </c>
      <c r="H280" s="318">
        <v>176431.88</v>
      </c>
      <c r="I280" s="319">
        <v>176431.88</v>
      </c>
      <c r="J280" s="319">
        <v>31135.04</v>
      </c>
      <c r="K280" s="320">
        <v>31135.04</v>
      </c>
      <c r="L280" s="789">
        <f>SUM(H280:K282)</f>
        <v>491138.59999999986</v>
      </c>
      <c r="M280" s="923">
        <f>L280/E281*100</f>
        <v>94.99999999999997</v>
      </c>
      <c r="N280" s="1160">
        <f>181508+181509</f>
        <v>363017</v>
      </c>
      <c r="O280" s="1160">
        <f>N280/E280*100</f>
        <v>82.60900236664847</v>
      </c>
      <c r="P280" s="1035">
        <v>0</v>
      </c>
      <c r="Q280" s="614"/>
      <c r="R280" s="538">
        <f>E280+F280</f>
        <v>516988</v>
      </c>
      <c r="S280" s="920">
        <v>0</v>
      </c>
      <c r="T280" s="1368"/>
    </row>
    <row r="281" spans="1:20" ht="17.25" customHeight="1">
      <c r="A281" s="1134"/>
      <c r="B281" s="1059"/>
      <c r="C281" s="990">
        <f>C280+D280</f>
        <v>516988</v>
      </c>
      <c r="D281" s="991"/>
      <c r="E281" s="990">
        <v>516988</v>
      </c>
      <c r="F281" s="991"/>
      <c r="G281" s="115">
        <v>516988</v>
      </c>
      <c r="H281" s="287">
        <v>23537.04</v>
      </c>
      <c r="I281" s="288">
        <v>23537.04</v>
      </c>
      <c r="J281" s="288">
        <v>4153.6</v>
      </c>
      <c r="K281" s="285">
        <v>4153.6</v>
      </c>
      <c r="L281" s="790"/>
      <c r="M281" s="924"/>
      <c r="N281" s="1161"/>
      <c r="O281" s="1161"/>
      <c r="P281" s="1036"/>
      <c r="Q281" s="537"/>
      <c r="R281" s="538">
        <f>E281</f>
        <v>516988</v>
      </c>
      <c r="S281" s="921"/>
      <c r="T281" s="1368"/>
    </row>
    <row r="282" spans="1:20" ht="20.25" customHeight="1" thickBot="1">
      <c r="A282" s="1090"/>
      <c r="B282" s="1060"/>
      <c r="C282" s="359"/>
      <c r="D282" s="532"/>
      <c r="E282" s="982"/>
      <c r="F282" s="983"/>
      <c r="G282" s="115"/>
      <c r="H282" s="282">
        <v>8764.98</v>
      </c>
      <c r="I282" s="283">
        <v>8764.98</v>
      </c>
      <c r="J282" s="283">
        <v>1546.76</v>
      </c>
      <c r="K282" s="284">
        <v>1546.76</v>
      </c>
      <c r="L282" s="766"/>
      <c r="M282" s="927"/>
      <c r="N282" s="1126"/>
      <c r="O282" s="1161"/>
      <c r="P282" s="1027"/>
      <c r="Q282" s="537"/>
      <c r="R282" s="538"/>
      <c r="S282" s="922"/>
      <c r="T282" s="1368"/>
    </row>
    <row r="283" spans="1:20" ht="24" customHeight="1">
      <c r="A283" s="1133" t="s">
        <v>201</v>
      </c>
      <c r="B283" s="1133" t="s">
        <v>200</v>
      </c>
      <c r="C283" s="265">
        <f>181214*2</f>
        <v>362428</v>
      </c>
      <c r="D283" s="267">
        <f>31979*2</f>
        <v>63958</v>
      </c>
      <c r="E283" s="312">
        <v>362428</v>
      </c>
      <c r="F283" s="267">
        <v>63958</v>
      </c>
      <c r="G283" s="317">
        <v>426386</v>
      </c>
      <c r="H283" s="312">
        <v>31654.02</v>
      </c>
      <c r="I283" s="313">
        <v>31654.02</v>
      </c>
      <c r="J283" s="313">
        <v>5586.01</v>
      </c>
      <c r="K283" s="267">
        <v>5586</v>
      </c>
      <c r="L283" s="789">
        <f>SUM(H283:K296)</f>
        <v>361173.51000000007</v>
      </c>
      <c r="M283" s="923">
        <f>L283/E284*100</f>
        <v>84.7057619152599</v>
      </c>
      <c r="N283" s="1160">
        <f>180658+102307+10594*2</f>
        <v>304153</v>
      </c>
      <c r="O283" s="1035">
        <f>N283/E283*100</f>
        <v>83.92094429790193</v>
      </c>
      <c r="P283" s="1035">
        <f>282880+10594*2</f>
        <v>304068</v>
      </c>
      <c r="Q283" s="315"/>
      <c r="R283" s="363">
        <f>E283+F283</f>
        <v>426386</v>
      </c>
      <c r="S283" s="923">
        <f>P283/E283*100</f>
        <v>83.89749136380192</v>
      </c>
      <c r="T283" s="1368"/>
    </row>
    <row r="284" spans="1:20" ht="24" customHeight="1">
      <c r="A284" s="1134"/>
      <c r="B284" s="1134"/>
      <c r="C284" s="1119">
        <f>C283+D283</f>
        <v>426386</v>
      </c>
      <c r="D284" s="1120"/>
      <c r="E284" s="1119">
        <v>426386</v>
      </c>
      <c r="F284" s="1065"/>
      <c r="G284" s="1441">
        <v>426386</v>
      </c>
      <c r="H284" s="398">
        <v>18556.58</v>
      </c>
      <c r="I284" s="399">
        <v>18556.58</v>
      </c>
      <c r="J284" s="399">
        <v>3274.69</v>
      </c>
      <c r="K284" s="285">
        <v>3274.69</v>
      </c>
      <c r="L284" s="790"/>
      <c r="M284" s="924"/>
      <c r="N284" s="1161"/>
      <c r="O284" s="1036"/>
      <c r="P284" s="1036"/>
      <c r="Q284" s="315"/>
      <c r="R284" s="363"/>
      <c r="S284" s="924"/>
      <c r="T284" s="1368"/>
    </row>
    <row r="285" spans="1:20" ht="21" customHeight="1">
      <c r="A285" s="1134"/>
      <c r="B285" s="1134"/>
      <c r="C285" s="1121"/>
      <c r="D285" s="1122"/>
      <c r="E285" s="1121"/>
      <c r="F285" s="1058"/>
      <c r="G285" s="1447"/>
      <c r="H285" s="398">
        <v>10717.92</v>
      </c>
      <c r="I285" s="399">
        <v>10717.92</v>
      </c>
      <c r="J285" s="399">
        <v>1891.4</v>
      </c>
      <c r="K285" s="285">
        <v>1891.39</v>
      </c>
      <c r="L285" s="790"/>
      <c r="M285" s="924"/>
      <c r="N285" s="1161"/>
      <c r="O285" s="1036"/>
      <c r="P285" s="1036"/>
      <c r="Q285" s="315"/>
      <c r="R285" s="363"/>
      <c r="S285" s="924"/>
      <c r="T285" s="1368"/>
    </row>
    <row r="286" spans="1:20" ht="14.25" customHeight="1">
      <c r="A286" s="1134"/>
      <c r="B286" s="1134"/>
      <c r="C286" s="1121"/>
      <c r="D286" s="1122"/>
      <c r="E286" s="1121"/>
      <c r="F286" s="1058"/>
      <c r="G286" s="1447"/>
      <c r="H286" s="398">
        <v>454.52</v>
      </c>
      <c r="I286" s="399">
        <v>454.52</v>
      </c>
      <c r="J286" s="399">
        <v>80.22</v>
      </c>
      <c r="K286" s="285">
        <v>80.21</v>
      </c>
      <c r="L286" s="790"/>
      <c r="M286" s="924"/>
      <c r="N286" s="1161"/>
      <c r="O286" s="1036"/>
      <c r="P286" s="1036"/>
      <c r="Q286" s="315"/>
      <c r="R286" s="363"/>
      <c r="S286" s="924"/>
      <c r="T286" s="1368"/>
    </row>
    <row r="287" spans="1:20" ht="14.25" customHeight="1">
      <c r="A287" s="1134"/>
      <c r="B287" s="1134"/>
      <c r="C287" s="1121"/>
      <c r="D287" s="1122"/>
      <c r="E287" s="1121"/>
      <c r="F287" s="1058"/>
      <c r="G287" s="1447"/>
      <c r="H287" s="398">
        <v>9557.35</v>
      </c>
      <c r="I287" s="399">
        <v>9557.35</v>
      </c>
      <c r="J287" s="399">
        <v>1686.6</v>
      </c>
      <c r="K287" s="285">
        <v>1686.59</v>
      </c>
      <c r="L287" s="790"/>
      <c r="M287" s="924"/>
      <c r="N287" s="1161"/>
      <c r="O287" s="1036"/>
      <c r="P287" s="1036"/>
      <c r="Q287" s="315"/>
      <c r="R287" s="363"/>
      <c r="S287" s="924"/>
      <c r="T287" s="1368"/>
    </row>
    <row r="288" spans="1:20" ht="14.25" customHeight="1">
      <c r="A288" s="1134"/>
      <c r="B288" s="1134"/>
      <c r="C288" s="1121"/>
      <c r="D288" s="1122"/>
      <c r="E288" s="1121"/>
      <c r="F288" s="1058"/>
      <c r="G288" s="1447"/>
      <c r="H288" s="398">
        <v>18228.66</v>
      </c>
      <c r="I288" s="399">
        <v>18228.66</v>
      </c>
      <c r="J288" s="399">
        <v>3216.82</v>
      </c>
      <c r="K288" s="285">
        <v>3216.82</v>
      </c>
      <c r="L288" s="790"/>
      <c r="M288" s="924"/>
      <c r="N288" s="1161"/>
      <c r="O288" s="1036"/>
      <c r="P288" s="1036"/>
      <c r="Q288" s="315"/>
      <c r="R288" s="363"/>
      <c r="S288" s="924"/>
      <c r="T288" s="1368"/>
    </row>
    <row r="289" spans="1:20" ht="14.25" customHeight="1" thickBot="1">
      <c r="A289" s="1134"/>
      <c r="B289" s="1134"/>
      <c r="C289" s="1121"/>
      <c r="D289" s="1122"/>
      <c r="E289" s="1121"/>
      <c r="F289" s="1058"/>
      <c r="G289" s="1442"/>
      <c r="H289" s="398">
        <v>586.72</v>
      </c>
      <c r="I289" s="399">
        <v>586.72</v>
      </c>
      <c r="J289" s="399">
        <v>103.54</v>
      </c>
      <c r="K289" s="285">
        <v>103.54</v>
      </c>
      <c r="L289" s="790"/>
      <c r="M289" s="924"/>
      <c r="N289" s="1161"/>
      <c r="O289" s="1036"/>
      <c r="P289" s="1036"/>
      <c r="Q289" s="428"/>
      <c r="R289" s="363">
        <f>E284</f>
        <v>426386</v>
      </c>
      <c r="S289" s="924"/>
      <c r="T289" s="1369"/>
    </row>
    <row r="290" spans="1:20" ht="14.25" customHeight="1" thickBot="1">
      <c r="A290" s="1134"/>
      <c r="B290" s="1134"/>
      <c r="C290" s="905"/>
      <c r="D290" s="906"/>
      <c r="E290" s="1121"/>
      <c r="F290" s="1058"/>
      <c r="G290" s="434"/>
      <c r="H290" s="398">
        <v>34164.53</v>
      </c>
      <c r="I290" s="399">
        <v>34164.53</v>
      </c>
      <c r="J290" s="399">
        <v>6029.05</v>
      </c>
      <c r="K290" s="285">
        <v>6029.04</v>
      </c>
      <c r="L290" s="790"/>
      <c r="M290" s="924"/>
      <c r="N290" s="1161"/>
      <c r="O290" s="1036"/>
      <c r="P290" s="1036"/>
      <c r="Q290" s="428"/>
      <c r="R290" s="363"/>
      <c r="S290" s="924"/>
      <c r="T290" s="587"/>
    </row>
    <row r="291" spans="1:20" ht="14.25" customHeight="1">
      <c r="A291" s="1134"/>
      <c r="B291" s="1134"/>
      <c r="C291" s="531"/>
      <c r="D291" s="581"/>
      <c r="E291" s="1121"/>
      <c r="F291" s="1058"/>
      <c r="G291" s="434"/>
      <c r="H291" s="398">
        <f>IP_čerapanie!H539</f>
        <v>13332.52</v>
      </c>
      <c r="I291" s="399">
        <f>IP_čerapanie!I539</f>
        <v>13332.52</v>
      </c>
      <c r="J291" s="399">
        <f>IP_čerapanie!J539</f>
        <v>2352.8</v>
      </c>
      <c r="K291" s="285">
        <f>IP_čerapanie!K539</f>
        <v>2352.8</v>
      </c>
      <c r="L291" s="790"/>
      <c r="M291" s="924"/>
      <c r="N291" s="1161"/>
      <c r="O291" s="1036"/>
      <c r="P291" s="1036"/>
      <c r="Q291" s="428"/>
      <c r="R291" s="363"/>
      <c r="S291" s="924"/>
      <c r="T291" s="587"/>
    </row>
    <row r="292" spans="1:20" ht="14.25" customHeight="1">
      <c r="A292" s="1134"/>
      <c r="B292" s="1134"/>
      <c r="C292" s="531"/>
      <c r="D292" s="581"/>
      <c r="E292" s="1121"/>
      <c r="F292" s="1058"/>
      <c r="G292" s="434"/>
      <c r="H292" s="398">
        <v>573.48</v>
      </c>
      <c r="I292" s="399">
        <v>573.48</v>
      </c>
      <c r="J292" s="399">
        <v>101.21</v>
      </c>
      <c r="K292" s="285">
        <v>101.2</v>
      </c>
      <c r="L292" s="790"/>
      <c r="M292" s="924"/>
      <c r="N292" s="1161"/>
      <c r="O292" s="1036"/>
      <c r="P292" s="1036"/>
      <c r="Q292" s="428"/>
      <c r="R292" s="363"/>
      <c r="S292" s="924"/>
      <c r="T292" s="587"/>
    </row>
    <row r="293" spans="1:20" ht="14.25" customHeight="1" thickBot="1">
      <c r="A293" s="1134"/>
      <c r="B293" s="1134"/>
      <c r="C293" s="531"/>
      <c r="D293" s="581"/>
      <c r="E293" s="1121"/>
      <c r="F293" s="1058"/>
      <c r="G293" s="434"/>
      <c r="H293" s="398">
        <v>1279.67</v>
      </c>
      <c r="I293" s="399">
        <v>1279.67</v>
      </c>
      <c r="J293" s="399">
        <v>225.83</v>
      </c>
      <c r="K293" s="285">
        <v>225.83</v>
      </c>
      <c r="L293" s="790"/>
      <c r="M293" s="924"/>
      <c r="N293" s="1161"/>
      <c r="O293" s="1036"/>
      <c r="P293" s="1036"/>
      <c r="Q293" s="428"/>
      <c r="R293" s="363"/>
      <c r="S293" s="924"/>
      <c r="T293" s="587"/>
    </row>
    <row r="294" spans="1:21" s="93" customFormat="1" ht="14.25" customHeight="1">
      <c r="A294" s="1134"/>
      <c r="B294" s="1134"/>
      <c r="C294" s="531"/>
      <c r="D294" s="581"/>
      <c r="E294" s="1121"/>
      <c r="F294" s="1058"/>
      <c r="G294" s="434"/>
      <c r="H294" s="426">
        <v>3656.45</v>
      </c>
      <c r="I294" s="415">
        <v>3656.45</v>
      </c>
      <c r="J294" s="415">
        <v>645.27</v>
      </c>
      <c r="K294" s="289">
        <v>645.26</v>
      </c>
      <c r="L294" s="790"/>
      <c r="M294" s="924"/>
      <c r="N294" s="1161"/>
      <c r="O294" s="1036"/>
      <c r="P294" s="1036"/>
      <c r="Q294" s="428"/>
      <c r="R294" s="363"/>
      <c r="S294" s="924"/>
      <c r="T294" s="1359">
        <f>(C209/9)/C209*100</f>
        <v>11.11111111111111</v>
      </c>
      <c r="U294" s="363"/>
    </row>
    <row r="295" spans="1:21" s="93" customFormat="1" ht="14.25" customHeight="1">
      <c r="A295" s="1134"/>
      <c r="B295" s="1134"/>
      <c r="C295" s="533"/>
      <c r="D295" s="533"/>
      <c r="E295" s="1121"/>
      <c r="F295" s="1058"/>
      <c r="G295" s="434"/>
      <c r="H295" s="426">
        <v>1421.98</v>
      </c>
      <c r="I295" s="415">
        <v>1421.98</v>
      </c>
      <c r="J295" s="415">
        <v>250.95</v>
      </c>
      <c r="K295" s="289">
        <v>250.94</v>
      </c>
      <c r="L295" s="790"/>
      <c r="M295" s="924"/>
      <c r="N295" s="1161"/>
      <c r="O295" s="1036"/>
      <c r="P295" s="1036"/>
      <c r="Q295" s="428"/>
      <c r="R295" s="363"/>
      <c r="S295" s="924"/>
      <c r="T295" s="1360"/>
      <c r="U295" s="363"/>
    </row>
    <row r="296" spans="1:21" s="93" customFormat="1" ht="14.25" customHeight="1" thickBot="1">
      <c r="A296" s="1090"/>
      <c r="B296" s="1090"/>
      <c r="C296" s="533"/>
      <c r="D296" s="533"/>
      <c r="E296" s="905"/>
      <c r="F296" s="1264"/>
      <c r="G296" s="434"/>
      <c r="H296" s="426">
        <v>9314.3</v>
      </c>
      <c r="I296" s="415">
        <v>9314.3</v>
      </c>
      <c r="J296" s="415">
        <v>1643.71</v>
      </c>
      <c r="K296" s="289">
        <v>1643.7</v>
      </c>
      <c r="L296" s="766"/>
      <c r="M296" s="927"/>
      <c r="N296" s="1126"/>
      <c r="O296" s="1027"/>
      <c r="P296" s="1027"/>
      <c r="Q296" s="428"/>
      <c r="R296" s="363"/>
      <c r="S296" s="927"/>
      <c r="T296" s="590"/>
      <c r="U296" s="363"/>
    </row>
    <row r="297" spans="1:21" s="93" customFormat="1" ht="19.5" customHeight="1">
      <c r="A297" s="1133" t="s">
        <v>61</v>
      </c>
      <c r="B297" s="818" t="s">
        <v>62</v>
      </c>
      <c r="C297" s="411">
        <v>373009</v>
      </c>
      <c r="D297" s="418">
        <v>65825</v>
      </c>
      <c r="E297" s="411">
        <v>416778.9</v>
      </c>
      <c r="F297" s="438">
        <v>73549.28</v>
      </c>
      <c r="G297" s="439">
        <v>490328.18000000005</v>
      </c>
      <c r="H297" s="440">
        <v>1317.21</v>
      </c>
      <c r="I297" s="441">
        <v>1317.21</v>
      </c>
      <c r="J297" s="441">
        <v>232.45</v>
      </c>
      <c r="K297" s="442">
        <v>232.45</v>
      </c>
      <c r="L297" s="1299">
        <f>SUM(H297:K303)</f>
        <v>465811.77</v>
      </c>
      <c r="M297" s="1477">
        <f>L297/E298*100</f>
        <v>94.99999979605495</v>
      </c>
      <c r="N297" s="1050">
        <f>292969.31+59101</f>
        <v>352070.31</v>
      </c>
      <c r="O297" s="1471">
        <f>N297/E297*100</f>
        <v>84.47412045091534</v>
      </c>
      <c r="P297" s="1471">
        <f>254544.43+18720+18719+29550+29551</f>
        <v>351084.43</v>
      </c>
      <c r="Q297" s="920">
        <f>P297/E297*100</f>
        <v>84.23757296734551</v>
      </c>
      <c r="R297" s="450">
        <f>E297+F297</f>
        <v>490328.18000000005</v>
      </c>
      <c r="S297" s="920">
        <f>P297/E297*100</f>
        <v>84.23757296734551</v>
      </c>
      <c r="T297" s="1359">
        <v>11.11</v>
      </c>
      <c r="U297" s="363"/>
    </row>
    <row r="298" spans="1:21" s="93" customFormat="1" ht="19.5" customHeight="1" thickBot="1">
      <c r="A298" s="1134"/>
      <c r="B298" s="819"/>
      <c r="C298" s="1435">
        <f>SUM(C297:D297)</f>
        <v>438834</v>
      </c>
      <c r="D298" s="1436"/>
      <c r="E298" s="1435">
        <v>490328.18000000005</v>
      </c>
      <c r="F298" s="1436"/>
      <c r="G298" s="1342">
        <v>490328.18000000005</v>
      </c>
      <c r="H298" s="443">
        <v>82528.38</v>
      </c>
      <c r="I298" s="444">
        <v>82528.38</v>
      </c>
      <c r="J298" s="444">
        <v>14563.83</v>
      </c>
      <c r="K298" s="445">
        <v>14563.83</v>
      </c>
      <c r="L298" s="1300"/>
      <c r="M298" s="1478"/>
      <c r="N298" s="1051"/>
      <c r="O298" s="1472"/>
      <c r="P298" s="1472"/>
      <c r="Q298" s="921"/>
      <c r="R298" s="420"/>
      <c r="S298" s="921"/>
      <c r="T298" s="1362"/>
      <c r="U298" s="363"/>
    </row>
    <row r="299" spans="1:21" s="93" customFormat="1" ht="19.5" customHeight="1">
      <c r="A299" s="1134"/>
      <c r="B299" s="819"/>
      <c r="C299" s="1437"/>
      <c r="D299" s="1438"/>
      <c r="E299" s="1437"/>
      <c r="F299" s="1438"/>
      <c r="G299" s="1300"/>
      <c r="H299" s="443">
        <v>64886.94</v>
      </c>
      <c r="I299" s="444">
        <v>64886.94</v>
      </c>
      <c r="J299" s="444">
        <v>11450.64</v>
      </c>
      <c r="K299" s="445">
        <v>11450.64</v>
      </c>
      <c r="L299" s="1300"/>
      <c r="M299" s="1478"/>
      <c r="N299" s="1051"/>
      <c r="O299" s="1472"/>
      <c r="P299" s="1472"/>
      <c r="Q299" s="921"/>
      <c r="R299" s="420"/>
      <c r="S299" s="921"/>
      <c r="T299" s="590"/>
      <c r="U299" s="363"/>
    </row>
    <row r="300" spans="1:20" ht="19.5" customHeight="1" thickBot="1">
      <c r="A300" s="1134"/>
      <c r="B300" s="819"/>
      <c r="C300" s="1437"/>
      <c r="D300" s="1438"/>
      <c r="E300" s="1437"/>
      <c r="F300" s="1438"/>
      <c r="G300" s="1300"/>
      <c r="H300" s="443">
        <v>2832.5</v>
      </c>
      <c r="I300" s="444">
        <v>2832.5</v>
      </c>
      <c r="J300" s="444">
        <v>499.85</v>
      </c>
      <c r="K300" s="445">
        <v>499.85</v>
      </c>
      <c r="L300" s="1300"/>
      <c r="M300" s="1478"/>
      <c r="N300" s="1051"/>
      <c r="O300" s="1472"/>
      <c r="P300" s="1472"/>
      <c r="Q300" s="922"/>
      <c r="R300" s="420"/>
      <c r="S300" s="921"/>
      <c r="T300" s="590"/>
    </row>
    <row r="301" spans="1:20" ht="19.5" customHeight="1" thickBot="1">
      <c r="A301" s="1134"/>
      <c r="B301" s="819"/>
      <c r="C301" s="1439"/>
      <c r="D301" s="1440"/>
      <c r="E301" s="1437"/>
      <c r="F301" s="1438"/>
      <c r="G301" s="1301"/>
      <c r="H301" s="443">
        <v>28695.79</v>
      </c>
      <c r="I301" s="444">
        <v>28695.79</v>
      </c>
      <c r="J301" s="444">
        <v>5063.96</v>
      </c>
      <c r="K301" s="445">
        <v>5063.96</v>
      </c>
      <c r="L301" s="1300"/>
      <c r="M301" s="1478"/>
      <c r="N301" s="1051"/>
      <c r="O301" s="1472"/>
      <c r="P301" s="1472"/>
      <c r="Q301" s="430"/>
      <c r="R301" s="451">
        <f>E298</f>
        <v>490328.18000000005</v>
      </c>
      <c r="S301" s="921"/>
      <c r="T301" s="590"/>
    </row>
    <row r="302" spans="1:21" s="93" customFormat="1" ht="16.5" customHeight="1">
      <c r="A302" s="1134"/>
      <c r="B302" s="819"/>
      <c r="C302" s="888"/>
      <c r="D302" s="889"/>
      <c r="E302" s="1437"/>
      <c r="F302" s="1438"/>
      <c r="G302" s="887"/>
      <c r="H302" s="443">
        <v>16374.15</v>
      </c>
      <c r="I302" s="444">
        <v>16374.15</v>
      </c>
      <c r="J302" s="444">
        <v>2889.56</v>
      </c>
      <c r="K302" s="445">
        <v>2889.56</v>
      </c>
      <c r="L302" s="1300"/>
      <c r="M302" s="1478"/>
      <c r="N302" s="1051"/>
      <c r="O302" s="1472"/>
      <c r="P302" s="1472"/>
      <c r="Q302" s="314"/>
      <c r="R302" s="420"/>
      <c r="S302" s="921"/>
      <c r="T302" s="1348">
        <f>(E261-N261)/E261*100/9</f>
        <v>3.0023847058484265</v>
      </c>
      <c r="U302" s="363"/>
    </row>
    <row r="303" spans="1:21" s="93" customFormat="1" ht="16.5" customHeight="1" thickBot="1">
      <c r="A303" s="1090"/>
      <c r="B303" s="820"/>
      <c r="C303" s="928"/>
      <c r="D303" s="928"/>
      <c r="E303" s="1439"/>
      <c r="F303" s="1440"/>
      <c r="G303" s="887"/>
      <c r="H303" s="446">
        <v>1335.01</v>
      </c>
      <c r="I303" s="447">
        <v>1335.01</v>
      </c>
      <c r="J303" s="447">
        <v>235.62</v>
      </c>
      <c r="K303" s="448">
        <v>235.61</v>
      </c>
      <c r="L303" s="1301"/>
      <c r="M303" s="1479"/>
      <c r="N303" s="1052"/>
      <c r="O303" s="1473"/>
      <c r="P303" s="1473"/>
      <c r="Q303" s="314"/>
      <c r="R303" s="420"/>
      <c r="S303" s="922"/>
      <c r="T303" s="1361"/>
      <c r="U303" s="363"/>
    </row>
    <row r="304" spans="1:21" s="93" customFormat="1" ht="16.5" customHeight="1">
      <c r="A304" s="1133" t="s">
        <v>11</v>
      </c>
      <c r="B304" s="1133" t="s">
        <v>12</v>
      </c>
      <c r="C304" s="266">
        <v>298769</v>
      </c>
      <c r="D304" s="266">
        <v>52724</v>
      </c>
      <c r="E304" s="25">
        <v>330752.4</v>
      </c>
      <c r="F304" s="20">
        <v>58368.12</v>
      </c>
      <c r="G304" s="38">
        <v>389120.5246763593</v>
      </c>
      <c r="H304" s="25">
        <v>45875.75</v>
      </c>
      <c r="I304" s="19">
        <v>45875.75</v>
      </c>
      <c r="J304" s="19">
        <v>8095.72</v>
      </c>
      <c r="K304" s="20">
        <v>8095.72</v>
      </c>
      <c r="L304" s="789">
        <f>SUM(H304:K311)</f>
        <v>369664.49</v>
      </c>
      <c r="M304" s="1035">
        <f>L304/E305*100</f>
        <v>94.99999897204084</v>
      </c>
      <c r="N304" s="1160">
        <f>221998.18+6001+52985</f>
        <v>280984.18</v>
      </c>
      <c r="O304" s="1035">
        <f>N304/E304*100</f>
        <v>84.95302830757993</v>
      </c>
      <c r="P304" s="1035">
        <f>225964+26492+26493</f>
        <v>278949</v>
      </c>
      <c r="Q304" s="1304">
        <f>P304/E304*100</f>
        <v>84.33771002115176</v>
      </c>
      <c r="R304" s="363">
        <f>E304+F304</f>
        <v>389120.52</v>
      </c>
      <c r="S304" s="923">
        <f>P304/E304*100</f>
        <v>84.33771002115176</v>
      </c>
      <c r="T304" s="1361"/>
      <c r="U304" s="363"/>
    </row>
    <row r="305" spans="1:21" s="93" customFormat="1" ht="16.5" customHeight="1">
      <c r="A305" s="1134"/>
      <c r="B305" s="1134"/>
      <c r="C305" s="1119">
        <f>SUM(C304:D304)</f>
        <v>351493</v>
      </c>
      <c r="D305" s="1120"/>
      <c r="E305" s="1119">
        <v>389120.52</v>
      </c>
      <c r="F305" s="1065"/>
      <c r="G305" s="1269">
        <v>389120.5246763593</v>
      </c>
      <c r="H305" s="34">
        <v>8323.37</v>
      </c>
      <c r="I305" s="33">
        <v>8323.37</v>
      </c>
      <c r="J305" s="33">
        <v>1468.84</v>
      </c>
      <c r="K305" s="35">
        <v>1468.84</v>
      </c>
      <c r="L305" s="790"/>
      <c r="M305" s="1036"/>
      <c r="N305" s="1161"/>
      <c r="O305" s="1036"/>
      <c r="P305" s="1036"/>
      <c r="Q305" s="1306"/>
      <c r="R305" s="363"/>
      <c r="S305" s="924"/>
      <c r="T305" s="1361"/>
      <c r="U305" s="363"/>
    </row>
    <row r="306" spans="1:21" s="93" customFormat="1" ht="16.5" customHeight="1" thickBot="1">
      <c r="A306" s="1134"/>
      <c r="B306" s="1134"/>
      <c r="C306" s="1121"/>
      <c r="D306" s="1122"/>
      <c r="E306" s="1121"/>
      <c r="F306" s="1058"/>
      <c r="G306" s="1270"/>
      <c r="H306" s="34">
        <v>24085.6</v>
      </c>
      <c r="I306" s="33">
        <v>24085.6</v>
      </c>
      <c r="J306" s="33">
        <v>4250.4</v>
      </c>
      <c r="K306" s="35">
        <v>4250.4</v>
      </c>
      <c r="L306" s="790"/>
      <c r="M306" s="1036"/>
      <c r="N306" s="1161"/>
      <c r="O306" s="1036"/>
      <c r="P306" s="1036"/>
      <c r="Q306" s="1307"/>
      <c r="R306" s="363"/>
      <c r="S306" s="924"/>
      <c r="T306" s="1349"/>
      <c r="U306" s="363"/>
    </row>
    <row r="307" spans="1:21" s="91" customFormat="1" ht="20.25" customHeight="1">
      <c r="A307" s="1134"/>
      <c r="B307" s="1134"/>
      <c r="C307" s="1388"/>
      <c r="D307" s="1389"/>
      <c r="E307" s="1121"/>
      <c r="F307" s="1058"/>
      <c r="G307" s="1270"/>
      <c r="H307" s="34">
        <v>3065.36</v>
      </c>
      <c r="I307" s="33">
        <v>3065.36</v>
      </c>
      <c r="J307" s="33">
        <v>540.94</v>
      </c>
      <c r="K307" s="35">
        <v>540.94</v>
      </c>
      <c r="L307" s="790"/>
      <c r="M307" s="1036"/>
      <c r="N307" s="1161"/>
      <c r="O307" s="1036"/>
      <c r="P307" s="1036"/>
      <c r="Q307" s="315"/>
      <c r="R307" s="363"/>
      <c r="S307" s="924"/>
      <c r="T307" s="1350">
        <f>(E271-N271)/E271*100/9</f>
        <v>2.1293654742844086</v>
      </c>
      <c r="U307" s="292"/>
    </row>
    <row r="308" spans="1:21" s="91" customFormat="1" ht="19.5" customHeight="1" thickBot="1">
      <c r="A308" s="1134"/>
      <c r="B308" s="1134"/>
      <c r="C308" s="1390"/>
      <c r="D308" s="1391"/>
      <c r="E308" s="1121"/>
      <c r="F308" s="1058"/>
      <c r="G308" s="1271"/>
      <c r="H308" s="34">
        <v>56472.26</v>
      </c>
      <c r="I308" s="33">
        <v>56472.26</v>
      </c>
      <c r="J308" s="33">
        <v>9965.69</v>
      </c>
      <c r="K308" s="35">
        <v>9965.69</v>
      </c>
      <c r="L308" s="790"/>
      <c r="M308" s="1036"/>
      <c r="N308" s="1161"/>
      <c r="O308" s="1036"/>
      <c r="P308" s="1036"/>
      <c r="Q308" s="315"/>
      <c r="R308" s="363">
        <f>E305</f>
        <v>389120.52</v>
      </c>
      <c r="S308" s="924"/>
      <c r="T308" s="1370"/>
      <c r="U308" s="292"/>
    </row>
    <row r="309" spans="1:21" s="91" customFormat="1" ht="19.5" customHeight="1" thickBot="1">
      <c r="A309" s="1134"/>
      <c r="B309" s="1134"/>
      <c r="C309" s="531"/>
      <c r="D309" s="533"/>
      <c r="E309" s="1121"/>
      <c r="F309" s="1058"/>
      <c r="G309" s="63"/>
      <c r="H309" s="12">
        <v>7427.43</v>
      </c>
      <c r="I309" s="11">
        <v>7427.43</v>
      </c>
      <c r="J309" s="11">
        <v>1310.73</v>
      </c>
      <c r="K309" s="13">
        <v>1310.72</v>
      </c>
      <c r="L309" s="790"/>
      <c r="M309" s="1036"/>
      <c r="N309" s="1161"/>
      <c r="O309" s="1036"/>
      <c r="P309" s="1036"/>
      <c r="Q309" s="315"/>
      <c r="R309" s="363"/>
      <c r="S309" s="924"/>
      <c r="T309" s="1351"/>
      <c r="U309" s="292"/>
    </row>
    <row r="310" spans="1:21" s="91" customFormat="1" ht="19.5" customHeight="1" thickBot="1">
      <c r="A310" s="1134"/>
      <c r="B310" s="1134"/>
      <c r="C310" s="531"/>
      <c r="D310" s="533"/>
      <c r="E310" s="1121"/>
      <c r="F310" s="1058"/>
      <c r="G310" s="63"/>
      <c r="H310" s="34">
        <v>4250</v>
      </c>
      <c r="I310" s="33">
        <v>4250</v>
      </c>
      <c r="J310" s="33">
        <v>750</v>
      </c>
      <c r="K310" s="35">
        <v>750</v>
      </c>
      <c r="L310" s="790"/>
      <c r="M310" s="1036"/>
      <c r="N310" s="1161"/>
      <c r="O310" s="1036"/>
      <c r="P310" s="1036"/>
      <c r="Q310" s="315"/>
      <c r="R310" s="363"/>
      <c r="S310" s="924"/>
      <c r="T310" s="590"/>
      <c r="U310" s="292"/>
    </row>
    <row r="311" spans="1:21" s="93" customFormat="1" ht="19.5" customHeight="1" thickBot="1">
      <c r="A311" s="1128"/>
      <c r="B311" s="1128"/>
      <c r="C311" s="531"/>
      <c r="D311" s="533"/>
      <c r="E311" s="1146"/>
      <c r="F311" s="1107"/>
      <c r="G311" s="63"/>
      <c r="H311" s="30">
        <v>7607.64</v>
      </c>
      <c r="I311" s="31">
        <v>7607.64</v>
      </c>
      <c r="J311" s="31">
        <v>1342.52</v>
      </c>
      <c r="K311" s="29">
        <v>1342.52</v>
      </c>
      <c r="L311" s="1157"/>
      <c r="M311" s="1157"/>
      <c r="N311" s="1132"/>
      <c r="O311" s="1157"/>
      <c r="P311" s="1157"/>
      <c r="Q311" s="315"/>
      <c r="R311" s="363"/>
      <c r="S311" s="1157"/>
      <c r="T311" s="1251">
        <f>(E487-N487)/E487*100/9</f>
        <v>0.9049944538081449</v>
      </c>
      <c r="U311" s="363"/>
    </row>
    <row r="312" spans="1:21" s="93" customFormat="1" ht="19.5" customHeight="1">
      <c r="A312" s="1133" t="s">
        <v>177</v>
      </c>
      <c r="B312" s="1097" t="s">
        <v>178</v>
      </c>
      <c r="C312" s="265">
        <v>480185</v>
      </c>
      <c r="D312" s="267">
        <v>84739</v>
      </c>
      <c r="E312" s="265">
        <v>480185</v>
      </c>
      <c r="F312" s="267">
        <v>84739</v>
      </c>
      <c r="G312" s="317">
        <v>564924</v>
      </c>
      <c r="H312" s="265">
        <v>0</v>
      </c>
      <c r="I312" s="266">
        <v>192074.16</v>
      </c>
      <c r="J312" s="266">
        <v>0</v>
      </c>
      <c r="K312" s="267">
        <v>33895.44</v>
      </c>
      <c r="L312" s="789">
        <f>SUM(H312:K316)</f>
        <v>535151.3300000001</v>
      </c>
      <c r="M312" s="923">
        <f>L312/E313*100</f>
        <v>94.72979197201748</v>
      </c>
      <c r="N312" s="1077">
        <f>44912+126331+23710+119816+73134+28246</f>
        <v>416149</v>
      </c>
      <c r="O312" s="1251">
        <f>N312/E312*100</f>
        <v>86.66430646521654</v>
      </c>
      <c r="P312" s="1251">
        <f>44912+126331+23710+119816</f>
        <v>314769</v>
      </c>
      <c r="Q312" s="1302">
        <f>P312/E312*100</f>
        <v>65.55161031685705</v>
      </c>
      <c r="R312" s="538">
        <f>E312+F312</f>
        <v>564924</v>
      </c>
      <c r="S312" s="920">
        <f>P312/E312*100</f>
        <v>65.55161031685705</v>
      </c>
      <c r="T312" s="1252"/>
      <c r="U312" s="363"/>
    </row>
    <row r="313" spans="1:21" s="93" customFormat="1" ht="19.5" customHeight="1" thickBot="1">
      <c r="A313" s="1134"/>
      <c r="B313" s="1059"/>
      <c r="C313" s="990">
        <f>C312+D312</f>
        <v>564924</v>
      </c>
      <c r="D313" s="991"/>
      <c r="E313" s="990">
        <v>564924</v>
      </c>
      <c r="F313" s="991"/>
      <c r="G313" s="63">
        <v>564924</v>
      </c>
      <c r="H313" s="287">
        <v>0</v>
      </c>
      <c r="I313" s="288">
        <v>17393.46</v>
      </c>
      <c r="J313" s="288">
        <v>0</v>
      </c>
      <c r="K313" s="285">
        <v>3069.44</v>
      </c>
      <c r="L313" s="790"/>
      <c r="M313" s="924"/>
      <c r="N313" s="1075"/>
      <c r="O313" s="1252"/>
      <c r="P313" s="1252"/>
      <c r="Q313" s="1313"/>
      <c r="R313" s="538">
        <f>E313</f>
        <v>564924</v>
      </c>
      <c r="S313" s="921"/>
      <c r="T313" s="1253"/>
      <c r="U313" s="363"/>
    </row>
    <row r="314" spans="1:21" s="93" customFormat="1" ht="19.5" customHeight="1">
      <c r="A314" s="1134"/>
      <c r="B314" s="1059"/>
      <c r="C314" s="359"/>
      <c r="D314" s="532"/>
      <c r="E314" s="992"/>
      <c r="F314" s="993"/>
      <c r="G314" s="63"/>
      <c r="H314" s="287">
        <v>0</v>
      </c>
      <c r="I314" s="288">
        <v>130608.86</v>
      </c>
      <c r="J314" s="288">
        <v>0</v>
      </c>
      <c r="K314" s="285">
        <v>23048.62</v>
      </c>
      <c r="L314" s="790"/>
      <c r="M314" s="924"/>
      <c r="N314" s="1075"/>
      <c r="O314" s="1252"/>
      <c r="P314" s="1252"/>
      <c r="Q314" s="537"/>
      <c r="R314" s="538"/>
      <c r="S314" s="921"/>
      <c r="T314" s="588"/>
      <c r="U314" s="363"/>
    </row>
    <row r="315" spans="1:21" s="93" customFormat="1" ht="19.5" customHeight="1" thickBot="1">
      <c r="A315" s="1134"/>
      <c r="B315" s="1059"/>
      <c r="C315" s="359"/>
      <c r="D315" s="532"/>
      <c r="E315" s="992"/>
      <c r="F315" s="993"/>
      <c r="G315" s="63"/>
      <c r="H315" s="287">
        <v>0</v>
      </c>
      <c r="I315" s="288">
        <v>46952</v>
      </c>
      <c r="J315" s="288">
        <v>0</v>
      </c>
      <c r="K315" s="285">
        <v>8285.65</v>
      </c>
      <c r="L315" s="790"/>
      <c r="M315" s="924"/>
      <c r="N315" s="1075"/>
      <c r="O315" s="1252"/>
      <c r="P315" s="1252"/>
      <c r="Q315" s="537"/>
      <c r="R315" s="538"/>
      <c r="S315" s="921"/>
      <c r="T315" s="588"/>
      <c r="U315" s="363"/>
    </row>
    <row r="316" spans="1:21" s="93" customFormat="1" ht="18.75" customHeight="1" thickBot="1">
      <c r="A316" s="1090"/>
      <c r="B316" s="1060"/>
      <c r="C316" s="359"/>
      <c r="D316" s="532"/>
      <c r="E316" s="982"/>
      <c r="F316" s="983"/>
      <c r="G316" s="63"/>
      <c r="H316" s="282">
        <v>0</v>
      </c>
      <c r="I316" s="283">
        <v>67850.14</v>
      </c>
      <c r="J316" s="283">
        <v>0</v>
      </c>
      <c r="K316" s="284">
        <v>11973.56</v>
      </c>
      <c r="L316" s="766"/>
      <c r="M316" s="927"/>
      <c r="N316" s="1076"/>
      <c r="O316" s="1253"/>
      <c r="P316" s="1253"/>
      <c r="Q316" s="537"/>
      <c r="R316" s="538"/>
      <c r="S316" s="922"/>
      <c r="T316" s="1348">
        <f>(E266-N266)/E266*100/9</f>
        <v>2.3666835568589644</v>
      </c>
      <c r="U316" s="363"/>
    </row>
    <row r="317" spans="1:21" s="93" customFormat="1" ht="18.75" customHeight="1">
      <c r="A317" s="1133" t="s">
        <v>53</v>
      </c>
      <c r="B317" s="1097" t="s">
        <v>54</v>
      </c>
      <c r="C317" s="266">
        <v>304633</v>
      </c>
      <c r="D317" s="266">
        <v>53759</v>
      </c>
      <c r="E317" s="79">
        <v>340379.04</v>
      </c>
      <c r="F317" s="80">
        <v>60066.94</v>
      </c>
      <c r="G317" s="348">
        <v>400445.98</v>
      </c>
      <c r="H317" s="322">
        <v>17846.81</v>
      </c>
      <c r="I317" s="323">
        <v>17846.81</v>
      </c>
      <c r="J317" s="323">
        <v>3149.44</v>
      </c>
      <c r="K317" s="324">
        <v>3149.44</v>
      </c>
      <c r="L317" s="1158">
        <f>SUM(H317:K327)</f>
        <v>380423.68000000034</v>
      </c>
      <c r="M317" s="1160">
        <f>L317/E318*100</f>
        <v>94.99999975027852</v>
      </c>
      <c r="N317" s="1077">
        <f>287640.81+8149</f>
        <v>295789.81</v>
      </c>
      <c r="O317" s="1251">
        <f>N317/E317*100</f>
        <v>86.90012463752174</v>
      </c>
      <c r="P317" s="1251">
        <f>286713</f>
        <v>286713</v>
      </c>
      <c r="Q317" s="1304">
        <f>P317/E317*100</f>
        <v>84.23344751192671</v>
      </c>
      <c r="R317" s="363">
        <f>E317+F317</f>
        <v>400445.98</v>
      </c>
      <c r="S317" s="920">
        <f>P317/E317*100</f>
        <v>84.23344751192671</v>
      </c>
      <c r="T317" s="1361"/>
      <c r="U317" s="363"/>
    </row>
    <row r="318" spans="1:21" s="93" customFormat="1" ht="18.75" customHeight="1">
      <c r="A318" s="904"/>
      <c r="B318" s="1098"/>
      <c r="C318" s="1111">
        <f>SUM(C317:D317)</f>
        <v>358392</v>
      </c>
      <c r="D318" s="1112"/>
      <c r="E318" s="1111">
        <v>400445.98</v>
      </c>
      <c r="F318" s="1100"/>
      <c r="G318" s="1026">
        <v>400445.98</v>
      </c>
      <c r="H318" s="342">
        <v>41261.59</v>
      </c>
      <c r="I318" s="336">
        <v>41261.59</v>
      </c>
      <c r="J318" s="336">
        <v>7281.46</v>
      </c>
      <c r="K318" s="343">
        <v>7281.46</v>
      </c>
      <c r="L318" s="1079"/>
      <c r="M318" s="1079"/>
      <c r="N318" s="1079"/>
      <c r="O318" s="1252"/>
      <c r="P318" s="1258"/>
      <c r="Q318" s="1306"/>
      <c r="R318" s="363"/>
      <c r="S318" s="921"/>
      <c r="T318" s="1361"/>
      <c r="U318" s="363"/>
    </row>
    <row r="319" spans="1:21" s="93" customFormat="1" ht="18.75" customHeight="1" thickBot="1">
      <c r="A319" s="904"/>
      <c r="B319" s="1098"/>
      <c r="C319" s="1093"/>
      <c r="D319" s="1094"/>
      <c r="E319" s="1086"/>
      <c r="F319" s="1087"/>
      <c r="G319" s="1007"/>
      <c r="H319" s="342">
        <v>12012.14</v>
      </c>
      <c r="I319" s="336">
        <v>12012.14</v>
      </c>
      <c r="J319" s="336">
        <v>2119.79</v>
      </c>
      <c r="K319" s="343">
        <v>2119.79</v>
      </c>
      <c r="L319" s="1079"/>
      <c r="M319" s="1079"/>
      <c r="N319" s="1079"/>
      <c r="O319" s="1252"/>
      <c r="P319" s="1258"/>
      <c r="Q319" s="1306"/>
      <c r="R319" s="363"/>
      <c r="S319" s="921"/>
      <c r="T319" s="1349"/>
      <c r="U319" s="363"/>
    </row>
    <row r="320" spans="1:21" s="93" customFormat="1" ht="18.75" customHeight="1" thickBot="1">
      <c r="A320" s="904"/>
      <c r="B320" s="1098"/>
      <c r="C320" s="1093"/>
      <c r="D320" s="1094"/>
      <c r="E320" s="1086"/>
      <c r="F320" s="1087"/>
      <c r="G320" s="1007"/>
      <c r="H320" s="331">
        <v>17635.94</v>
      </c>
      <c r="I320" s="332">
        <v>17635.94</v>
      </c>
      <c r="J320" s="332">
        <v>3112.22</v>
      </c>
      <c r="K320" s="333">
        <v>3112.22</v>
      </c>
      <c r="L320" s="1079"/>
      <c r="M320" s="1079"/>
      <c r="N320" s="1079"/>
      <c r="O320" s="1252"/>
      <c r="P320" s="1258"/>
      <c r="Q320" s="1306"/>
      <c r="R320" s="363"/>
      <c r="S320" s="921"/>
      <c r="T320" s="588"/>
      <c r="U320" s="363"/>
    </row>
    <row r="321" spans="1:23" s="91" customFormat="1" ht="13.5" customHeight="1">
      <c r="A321" s="904"/>
      <c r="B321" s="1098"/>
      <c r="C321" s="1093"/>
      <c r="D321" s="1094"/>
      <c r="E321" s="1086"/>
      <c r="F321" s="1087"/>
      <c r="G321" s="1007"/>
      <c r="H321" s="331">
        <v>11270.14</v>
      </c>
      <c r="I321" s="332">
        <v>11270.14</v>
      </c>
      <c r="J321" s="332">
        <v>1988.85</v>
      </c>
      <c r="K321" s="333">
        <v>1988.85</v>
      </c>
      <c r="L321" s="1079"/>
      <c r="M321" s="1079"/>
      <c r="N321" s="1079"/>
      <c r="O321" s="1252"/>
      <c r="P321" s="1258"/>
      <c r="Q321" s="1306"/>
      <c r="R321" s="363"/>
      <c r="S321" s="921"/>
      <c r="T321" s="1290">
        <f>(C518/9)/C518*100</f>
        <v>11.11111111111111</v>
      </c>
      <c r="U321" s="1278"/>
      <c r="W321" s="292"/>
    </row>
    <row r="322" spans="1:23" s="91" customFormat="1" ht="13.5" customHeight="1">
      <c r="A322" s="904"/>
      <c r="B322" s="1098"/>
      <c r="C322" s="1093"/>
      <c r="D322" s="1094"/>
      <c r="E322" s="1086"/>
      <c r="F322" s="1087"/>
      <c r="G322" s="1007"/>
      <c r="H322" s="331">
        <v>6709.2</v>
      </c>
      <c r="I322" s="332">
        <v>6709.2</v>
      </c>
      <c r="J322" s="332">
        <v>1183.98</v>
      </c>
      <c r="K322" s="333">
        <v>1183.97</v>
      </c>
      <c r="L322" s="1079"/>
      <c r="M322" s="1079"/>
      <c r="N322" s="1079"/>
      <c r="O322" s="1252"/>
      <c r="P322" s="1258"/>
      <c r="Q322" s="1306"/>
      <c r="R322" s="363"/>
      <c r="S322" s="921"/>
      <c r="T322" s="1292"/>
      <c r="U322" s="1278"/>
      <c r="W322" s="292"/>
    </row>
    <row r="323" spans="1:23" s="91" customFormat="1" ht="13.5" customHeight="1" thickBot="1">
      <c r="A323" s="904"/>
      <c r="B323" s="1098"/>
      <c r="C323" s="1093"/>
      <c r="D323" s="1094"/>
      <c r="E323" s="1086"/>
      <c r="F323" s="1087"/>
      <c r="G323" s="1007"/>
      <c r="H323" s="34">
        <v>26937.7</v>
      </c>
      <c r="I323" s="33">
        <v>26937.7</v>
      </c>
      <c r="J323" s="33">
        <v>4753.71</v>
      </c>
      <c r="K323" s="43">
        <v>4753.71</v>
      </c>
      <c r="L323" s="1079"/>
      <c r="M323" s="1079"/>
      <c r="N323" s="1079"/>
      <c r="O323" s="1252"/>
      <c r="P323" s="1258"/>
      <c r="Q323" s="1307"/>
      <c r="R323" s="363"/>
      <c r="S323" s="921"/>
      <c r="T323" s="1292" t="e">
        <f>(C520/9)/C520*100</f>
        <v>#DIV/0!</v>
      </c>
      <c r="U323" s="354"/>
      <c r="W323" s="292"/>
    </row>
    <row r="324" spans="1:23" s="91" customFormat="1" ht="13.5" customHeight="1">
      <c r="A324" s="904"/>
      <c r="B324" s="1098"/>
      <c r="C324" s="1093"/>
      <c r="D324" s="1094"/>
      <c r="E324" s="1086"/>
      <c r="F324" s="1087"/>
      <c r="G324" s="1007"/>
      <c r="H324" s="34">
        <v>8972.53</v>
      </c>
      <c r="I324" s="33">
        <v>8972.53</v>
      </c>
      <c r="J324" s="33">
        <v>1583.39</v>
      </c>
      <c r="K324" s="43">
        <v>1583.39</v>
      </c>
      <c r="L324" s="1079"/>
      <c r="M324" s="1079"/>
      <c r="N324" s="1079"/>
      <c r="O324" s="1252"/>
      <c r="P324" s="1258"/>
      <c r="Q324" s="315"/>
      <c r="R324" s="363"/>
      <c r="S324" s="921"/>
      <c r="T324" s="1292"/>
      <c r="U324" s="354"/>
      <c r="W324" s="292"/>
    </row>
    <row r="325" spans="1:23" s="91" customFormat="1" ht="13.5" customHeight="1" thickBot="1">
      <c r="A325" s="904"/>
      <c r="B325" s="1098"/>
      <c r="C325" s="1093"/>
      <c r="D325" s="1094"/>
      <c r="E325" s="1086"/>
      <c r="F325" s="1087"/>
      <c r="G325" s="1007"/>
      <c r="H325" s="34">
        <v>5327.5</v>
      </c>
      <c r="I325" s="33">
        <v>5327.5</v>
      </c>
      <c r="J325" s="33">
        <v>940.15</v>
      </c>
      <c r="K325" s="43">
        <v>940.14</v>
      </c>
      <c r="L325" s="1079"/>
      <c r="M325" s="1079"/>
      <c r="N325" s="1079"/>
      <c r="O325" s="1252"/>
      <c r="P325" s="1258"/>
      <c r="Q325" s="315"/>
      <c r="R325" s="363"/>
      <c r="S325" s="921"/>
      <c r="T325" s="1293"/>
      <c r="U325" s="354"/>
      <c r="W325" s="292"/>
    </row>
    <row r="326" spans="1:23" s="91" customFormat="1" ht="13.5" customHeight="1" thickBot="1">
      <c r="A326" s="904"/>
      <c r="B326" s="1098"/>
      <c r="C326" s="1095"/>
      <c r="D326" s="1096"/>
      <c r="E326" s="1086"/>
      <c r="F326" s="1087"/>
      <c r="G326" s="1008"/>
      <c r="H326" s="34">
        <v>12634.78</v>
      </c>
      <c r="I326" s="33">
        <v>12634.78</v>
      </c>
      <c r="J326" s="33">
        <v>2229.67</v>
      </c>
      <c r="K326" s="43">
        <v>2229.67</v>
      </c>
      <c r="L326" s="1079"/>
      <c r="M326" s="1079"/>
      <c r="N326" s="1079"/>
      <c r="O326" s="1252"/>
      <c r="P326" s="1258"/>
      <c r="Q326" s="315"/>
      <c r="R326" s="363">
        <f>E318</f>
        <v>400445.98</v>
      </c>
      <c r="S326" s="921"/>
      <c r="T326" s="675"/>
      <c r="U326" s="354"/>
      <c r="W326" s="292"/>
    </row>
    <row r="327" spans="1:23" s="91" customFormat="1" ht="13.5" customHeight="1" thickBot="1">
      <c r="A327" s="1099"/>
      <c r="B327" s="1099"/>
      <c r="C327" s="589"/>
      <c r="D327" s="780"/>
      <c r="E327" s="1088"/>
      <c r="F327" s="1089"/>
      <c r="G327" s="386"/>
      <c r="H327" s="45">
        <v>1071.71</v>
      </c>
      <c r="I327" s="31">
        <v>1071.71</v>
      </c>
      <c r="J327" s="27">
        <v>189.14</v>
      </c>
      <c r="K327" s="40">
        <v>189.16</v>
      </c>
      <c r="L327" s="1099"/>
      <c r="M327" s="1099"/>
      <c r="N327" s="1080"/>
      <c r="O327" s="901"/>
      <c r="P327" s="1099"/>
      <c r="Q327" s="768"/>
      <c r="R327" s="363"/>
      <c r="S327" s="901"/>
      <c r="T327" s="675"/>
      <c r="U327" s="354"/>
      <c r="W327" s="292"/>
    </row>
    <row r="328" spans="1:23" s="91" customFormat="1" ht="13.5" customHeight="1" thickBot="1">
      <c r="A328" s="1133" t="s">
        <v>71</v>
      </c>
      <c r="B328" s="1133" t="s">
        <v>72</v>
      </c>
      <c r="C328" s="25">
        <v>318229</v>
      </c>
      <c r="D328" s="17">
        <v>56158</v>
      </c>
      <c r="E328" s="25">
        <v>320172.7</v>
      </c>
      <c r="F328" s="20">
        <v>56501.02</v>
      </c>
      <c r="G328" s="38">
        <v>376673.72000000003</v>
      </c>
      <c r="H328" s="25">
        <v>14505.93</v>
      </c>
      <c r="I328" s="19">
        <v>14505.93</v>
      </c>
      <c r="J328" s="19">
        <v>2559.88</v>
      </c>
      <c r="K328" s="20">
        <v>2559.88</v>
      </c>
      <c r="L328" s="789">
        <f>SUM(H328:K340)</f>
        <v>341183.7099999999</v>
      </c>
      <c r="M328" s="1035">
        <f>L328/E329*100</f>
        <v>90.57804988359683</v>
      </c>
      <c r="N328" s="1160">
        <f>252449.22+27399</f>
        <v>279848.22</v>
      </c>
      <c r="O328" s="1035">
        <f>N328/E328*100</f>
        <v>87.40539714972574</v>
      </c>
      <c r="P328" s="1035">
        <f>251888+13699+13700</f>
        <v>279287</v>
      </c>
      <c r="Q328" s="1304">
        <f>P328/E328*100</f>
        <v>87.23011049973967</v>
      </c>
      <c r="R328" s="363">
        <f>E328+F328</f>
        <v>376673.72000000003</v>
      </c>
      <c r="S328" s="923">
        <f>P328/E328*100</f>
        <v>87.23011049973967</v>
      </c>
      <c r="T328" s="675"/>
      <c r="U328" s="354"/>
      <c r="W328" s="292"/>
    </row>
    <row r="329" spans="1:21" s="93" customFormat="1" ht="12.75" customHeight="1">
      <c r="A329" s="1134"/>
      <c r="B329" s="1134"/>
      <c r="C329" s="1119">
        <f>SUM(C328:D328)</f>
        <v>374387</v>
      </c>
      <c r="D329" s="1065"/>
      <c r="E329" s="1119">
        <v>376673.72000000003</v>
      </c>
      <c r="F329" s="1120"/>
      <c r="G329" s="1272">
        <v>376673.72000000003</v>
      </c>
      <c r="H329" s="34">
        <v>29628.06</v>
      </c>
      <c r="I329" s="33">
        <v>29628.06</v>
      </c>
      <c r="J329" s="33">
        <v>5228.48</v>
      </c>
      <c r="K329" s="35">
        <v>5228.48</v>
      </c>
      <c r="L329" s="790"/>
      <c r="M329" s="1036"/>
      <c r="N329" s="1161"/>
      <c r="O329" s="1036"/>
      <c r="P329" s="1036"/>
      <c r="Q329" s="1306"/>
      <c r="R329" s="363"/>
      <c r="S329" s="924"/>
      <c r="T329" s="1251">
        <f>(E283-N283)/E283*100/9</f>
        <v>1.7865617446775635</v>
      </c>
      <c r="U329" s="363"/>
    </row>
    <row r="330" spans="1:21" s="93" customFormat="1" ht="12.75" customHeight="1" thickBot="1">
      <c r="A330" s="1134"/>
      <c r="B330" s="1134"/>
      <c r="C330" s="1121"/>
      <c r="D330" s="1058"/>
      <c r="E330" s="1121"/>
      <c r="F330" s="1122"/>
      <c r="G330" s="1273"/>
      <c r="H330" s="34">
        <v>787.31</v>
      </c>
      <c r="I330" s="33">
        <v>787.31</v>
      </c>
      <c r="J330" s="33">
        <v>138.94</v>
      </c>
      <c r="K330" s="35">
        <v>138.94</v>
      </c>
      <c r="L330" s="790"/>
      <c r="M330" s="1036"/>
      <c r="N330" s="1161"/>
      <c r="O330" s="1036"/>
      <c r="P330" s="1036"/>
      <c r="Q330" s="1307"/>
      <c r="R330" s="363"/>
      <c r="S330" s="924"/>
      <c r="T330" s="1252"/>
      <c r="U330" s="363"/>
    </row>
    <row r="331" spans="1:21" s="93" customFormat="1" ht="12.75" customHeight="1">
      <c r="A331" s="1134"/>
      <c r="B331" s="1134"/>
      <c r="C331" s="1121"/>
      <c r="D331" s="1058"/>
      <c r="E331" s="1121"/>
      <c r="F331" s="1122"/>
      <c r="G331" s="1273"/>
      <c r="H331" s="34">
        <v>27253.81</v>
      </c>
      <c r="I331" s="33">
        <v>27253.81</v>
      </c>
      <c r="J331" s="33">
        <v>4809.51</v>
      </c>
      <c r="K331" s="35">
        <v>4809.5</v>
      </c>
      <c r="L331" s="790"/>
      <c r="M331" s="1036"/>
      <c r="N331" s="1161"/>
      <c r="O331" s="1036"/>
      <c r="P331" s="1036"/>
      <c r="Q331" s="315"/>
      <c r="R331" s="363"/>
      <c r="S331" s="924"/>
      <c r="T331" s="1252"/>
      <c r="U331" s="363"/>
    </row>
    <row r="332" spans="1:21" s="93" customFormat="1" ht="13.5" thickBot="1">
      <c r="A332" s="1134"/>
      <c r="B332" s="1134"/>
      <c r="C332" s="905"/>
      <c r="D332" s="1264"/>
      <c r="E332" s="1121"/>
      <c r="F332" s="1122"/>
      <c r="G332" s="1274"/>
      <c r="H332" s="34">
        <v>11870.92</v>
      </c>
      <c r="I332" s="33">
        <v>11870.92</v>
      </c>
      <c r="J332" s="33">
        <v>2094.87</v>
      </c>
      <c r="K332" s="35">
        <v>2094.86</v>
      </c>
      <c r="L332" s="790"/>
      <c r="M332" s="1036"/>
      <c r="N332" s="1161"/>
      <c r="O332" s="1036"/>
      <c r="P332" s="1036"/>
      <c r="Q332" s="315"/>
      <c r="R332" s="363">
        <f>E329</f>
        <v>376673.72000000003</v>
      </c>
      <c r="S332" s="924"/>
      <c r="T332" s="1252"/>
      <c r="U332" s="363"/>
    </row>
    <row r="333" spans="1:21" s="93" customFormat="1" ht="12.75">
      <c r="A333" s="1134"/>
      <c r="B333" s="1134"/>
      <c r="C333" s="45"/>
      <c r="D333" s="40"/>
      <c r="E333" s="1121"/>
      <c r="F333" s="1122"/>
      <c r="G333" s="434"/>
      <c r="H333" s="34">
        <v>7236.25</v>
      </c>
      <c r="I333" s="33">
        <v>7236.25</v>
      </c>
      <c r="J333" s="33">
        <v>1276.99</v>
      </c>
      <c r="K333" s="35">
        <v>1276.98</v>
      </c>
      <c r="L333" s="790"/>
      <c r="M333" s="1036"/>
      <c r="N333" s="1161"/>
      <c r="O333" s="1036"/>
      <c r="P333" s="1036"/>
      <c r="Q333" s="315"/>
      <c r="R333" s="363"/>
      <c r="S333" s="924"/>
      <c r="T333" s="1252"/>
      <c r="U333" s="363"/>
    </row>
    <row r="334" spans="1:21" s="93" customFormat="1" ht="12.75">
      <c r="A334" s="1134"/>
      <c r="B334" s="1134"/>
      <c r="C334" s="45"/>
      <c r="D334" s="40"/>
      <c r="E334" s="1121"/>
      <c r="F334" s="1122"/>
      <c r="G334" s="434"/>
      <c r="H334" s="34">
        <v>11074.97</v>
      </c>
      <c r="I334" s="33">
        <v>11074.97</v>
      </c>
      <c r="J334" s="33">
        <v>1954.41</v>
      </c>
      <c r="K334" s="35">
        <v>1954.41</v>
      </c>
      <c r="L334" s="790"/>
      <c r="M334" s="1036"/>
      <c r="N334" s="1161"/>
      <c r="O334" s="1036"/>
      <c r="P334" s="1036"/>
      <c r="Q334" s="315"/>
      <c r="R334" s="363"/>
      <c r="S334" s="924"/>
      <c r="T334" s="1252"/>
      <c r="U334" s="363"/>
    </row>
    <row r="335" spans="1:21" s="93" customFormat="1" ht="12.75">
      <c r="A335" s="1134"/>
      <c r="B335" s="1134"/>
      <c r="C335" s="45"/>
      <c r="D335" s="40"/>
      <c r="E335" s="1121"/>
      <c r="F335" s="1122"/>
      <c r="G335" s="434"/>
      <c r="H335" s="34">
        <v>5750.72</v>
      </c>
      <c r="I335" s="33">
        <v>5750.72</v>
      </c>
      <c r="J335" s="33">
        <v>1014.83</v>
      </c>
      <c r="K335" s="35">
        <v>1014.83</v>
      </c>
      <c r="L335" s="790"/>
      <c r="M335" s="1036"/>
      <c r="N335" s="1161"/>
      <c r="O335" s="1036"/>
      <c r="P335" s="1036"/>
      <c r="Q335" s="315"/>
      <c r="R335" s="363"/>
      <c r="S335" s="924"/>
      <c r="T335" s="1252"/>
      <c r="U335" s="363"/>
    </row>
    <row r="336" spans="1:21" s="93" customFormat="1" ht="12.75" customHeight="1">
      <c r="A336" s="1134"/>
      <c r="B336" s="1134"/>
      <c r="C336" s="40"/>
      <c r="D336" s="40"/>
      <c r="E336" s="1121"/>
      <c r="F336" s="1122"/>
      <c r="G336" s="434"/>
      <c r="H336" s="34">
        <v>13248.62</v>
      </c>
      <c r="I336" s="33">
        <v>13248.62</v>
      </c>
      <c r="J336" s="33">
        <v>2338</v>
      </c>
      <c r="K336" s="35">
        <v>2337.99</v>
      </c>
      <c r="L336" s="790"/>
      <c r="M336" s="1036"/>
      <c r="N336" s="1161"/>
      <c r="O336" s="1036"/>
      <c r="P336" s="1036"/>
      <c r="Q336" s="315"/>
      <c r="R336" s="363"/>
      <c r="S336" s="924"/>
      <c r="T336" s="1252"/>
      <c r="U336" s="363"/>
    </row>
    <row r="337" spans="1:21" s="93" customFormat="1" ht="12.75">
      <c r="A337" s="1134"/>
      <c r="B337" s="1134"/>
      <c r="C337" s="40"/>
      <c r="D337" s="40"/>
      <c r="E337" s="1121"/>
      <c r="F337" s="1122"/>
      <c r="G337" s="434"/>
      <c r="H337" s="34">
        <v>4058.37</v>
      </c>
      <c r="I337" s="33">
        <v>4058.37</v>
      </c>
      <c r="J337" s="33">
        <v>716.18</v>
      </c>
      <c r="K337" s="35">
        <v>716.18</v>
      </c>
      <c r="L337" s="790"/>
      <c r="M337" s="1036"/>
      <c r="N337" s="1161"/>
      <c r="O337" s="1036"/>
      <c r="P337" s="1036"/>
      <c r="Q337" s="315"/>
      <c r="R337" s="363"/>
      <c r="S337" s="924"/>
      <c r="T337" s="1252"/>
      <c r="U337" s="363"/>
    </row>
    <row r="338" spans="1:21" s="93" customFormat="1" ht="13.5" thickBot="1">
      <c r="A338" s="1134"/>
      <c r="B338" s="1134"/>
      <c r="C338" s="40"/>
      <c r="D338" s="40"/>
      <c r="E338" s="1121"/>
      <c r="F338" s="1122"/>
      <c r="G338" s="434"/>
      <c r="H338" s="34">
        <v>4607.25</v>
      </c>
      <c r="I338" s="33">
        <v>4607.25</v>
      </c>
      <c r="J338" s="33">
        <v>813.05</v>
      </c>
      <c r="K338" s="35">
        <v>813.05</v>
      </c>
      <c r="L338" s="790"/>
      <c r="M338" s="1036"/>
      <c r="N338" s="1161"/>
      <c r="O338" s="1036"/>
      <c r="P338" s="1036"/>
      <c r="Q338" s="315"/>
      <c r="R338" s="363"/>
      <c r="S338" s="924"/>
      <c r="T338" s="1253"/>
      <c r="U338" s="363"/>
    </row>
    <row r="339" spans="1:21" s="93" customFormat="1" ht="12" customHeight="1">
      <c r="A339" s="1134"/>
      <c r="B339" s="1134"/>
      <c r="C339" s="40"/>
      <c r="D339" s="40"/>
      <c r="E339" s="1121"/>
      <c r="F339" s="1122"/>
      <c r="G339" s="434"/>
      <c r="H339" s="34">
        <v>5339.61</v>
      </c>
      <c r="I339" s="33">
        <v>5339.61</v>
      </c>
      <c r="J339" s="33">
        <v>942.29</v>
      </c>
      <c r="K339" s="35">
        <v>942.29</v>
      </c>
      <c r="L339" s="790"/>
      <c r="M339" s="1036"/>
      <c r="N339" s="1161"/>
      <c r="O339" s="1036"/>
      <c r="P339" s="1036"/>
      <c r="Q339" s="315"/>
      <c r="R339" s="363"/>
      <c r="S339" s="924"/>
      <c r="T339" s="588"/>
      <c r="U339" s="363"/>
    </row>
    <row r="340" spans="1:21" s="93" customFormat="1" ht="13.5" thickBot="1">
      <c r="A340" s="1090"/>
      <c r="B340" s="1090"/>
      <c r="C340" s="40"/>
      <c r="D340" s="40"/>
      <c r="E340" s="905"/>
      <c r="F340" s="906"/>
      <c r="G340" s="434"/>
      <c r="H340" s="30">
        <v>9641.23</v>
      </c>
      <c r="I340" s="31">
        <v>9641.23</v>
      </c>
      <c r="J340" s="31">
        <v>1701.4</v>
      </c>
      <c r="K340" s="40">
        <v>1701.39</v>
      </c>
      <c r="L340" s="766"/>
      <c r="M340" s="1027"/>
      <c r="N340" s="1126"/>
      <c r="O340" s="1027"/>
      <c r="P340" s="1027"/>
      <c r="Q340" s="315"/>
      <c r="R340" s="363"/>
      <c r="S340" s="927"/>
      <c r="T340" s="588"/>
      <c r="U340" s="363"/>
    </row>
    <row r="341" spans="1:21" s="92" customFormat="1" ht="21" customHeight="1">
      <c r="A341" s="1133" t="s">
        <v>45</v>
      </c>
      <c r="B341" s="1133" t="s">
        <v>46</v>
      </c>
      <c r="C341" s="11">
        <v>351167</v>
      </c>
      <c r="D341" s="11">
        <v>61971</v>
      </c>
      <c r="E341" s="25">
        <v>382220.44</v>
      </c>
      <c r="F341" s="20">
        <v>67450.88</v>
      </c>
      <c r="G341" s="348">
        <v>449671.21522936993</v>
      </c>
      <c r="H341" s="25">
        <v>56773.36</v>
      </c>
      <c r="I341" s="19">
        <v>56773.36</v>
      </c>
      <c r="J341" s="19">
        <v>10018.83</v>
      </c>
      <c r="K341" s="39">
        <v>10018.83</v>
      </c>
      <c r="L341" s="789">
        <f>SUM(H341:K357)</f>
        <v>425516.20999999996</v>
      </c>
      <c r="M341" s="1035">
        <f>L341/E342*100</f>
        <v>94.62827426930407</v>
      </c>
      <c r="N341" s="782">
        <f>335312.73+2335+144*2</f>
        <v>337935.73</v>
      </c>
      <c r="O341" s="1480">
        <f>N341/E341*100</f>
        <v>88.41382998774215</v>
      </c>
      <c r="P341" s="1035">
        <v>330222</v>
      </c>
      <c r="Q341" s="1304">
        <f>P341/E341*100</f>
        <v>86.39569354271059</v>
      </c>
      <c r="R341" s="363">
        <f>E341+F341</f>
        <v>449671.32</v>
      </c>
      <c r="S341" s="923">
        <f>P341/E341*100</f>
        <v>86.39569354271059</v>
      </c>
      <c r="T341" s="1348">
        <f>(E312-N312)/E312*100/9</f>
        <v>1.481743726087052</v>
      </c>
      <c r="U341" s="538"/>
    </row>
    <row r="342" spans="1:21" s="92" customFormat="1" ht="18" customHeight="1" thickBot="1">
      <c r="A342" s="1134"/>
      <c r="B342" s="1134"/>
      <c r="C342" s="1129">
        <f>SUM(C341:D341)</f>
        <v>413138</v>
      </c>
      <c r="D342" s="1130"/>
      <c r="E342" s="1129">
        <f>E341+F341</f>
        <v>449671.32</v>
      </c>
      <c r="F342" s="1130"/>
      <c r="G342" s="1091">
        <v>449671.21522936993</v>
      </c>
      <c r="H342" s="30">
        <v>66687.08</v>
      </c>
      <c r="I342" s="31">
        <v>66687.08</v>
      </c>
      <c r="J342" s="31">
        <v>11768.3</v>
      </c>
      <c r="K342" s="41">
        <v>11768.3</v>
      </c>
      <c r="L342" s="790"/>
      <c r="M342" s="1036"/>
      <c r="N342" s="783"/>
      <c r="O342" s="1481"/>
      <c r="P342" s="1036"/>
      <c r="Q342" s="1306"/>
      <c r="R342" s="363"/>
      <c r="S342" s="924"/>
      <c r="T342" s="1349"/>
      <c r="U342" s="538"/>
    </row>
    <row r="343" spans="1:21" s="92" customFormat="1" ht="21" customHeight="1">
      <c r="A343" s="1134"/>
      <c r="B343" s="1134"/>
      <c r="C343" s="1131"/>
      <c r="D343" s="1118"/>
      <c r="E343" s="1131"/>
      <c r="F343" s="1118"/>
      <c r="G343" s="1092"/>
      <c r="H343" s="34">
        <v>1989.17</v>
      </c>
      <c r="I343" s="33">
        <v>1989.17</v>
      </c>
      <c r="J343" s="33">
        <v>351.03</v>
      </c>
      <c r="K343" s="43">
        <v>351.03</v>
      </c>
      <c r="L343" s="790"/>
      <c r="M343" s="1036"/>
      <c r="N343" s="783"/>
      <c r="O343" s="1481"/>
      <c r="P343" s="1036"/>
      <c r="Q343" s="1306"/>
      <c r="R343" s="363"/>
      <c r="S343" s="924"/>
      <c r="T343" s="588"/>
      <c r="U343" s="538"/>
    </row>
    <row r="344" spans="1:21" s="92" customFormat="1" ht="21" customHeight="1">
      <c r="A344" s="1134"/>
      <c r="B344" s="1134"/>
      <c r="C344" s="1131"/>
      <c r="D344" s="1118"/>
      <c r="E344" s="1131"/>
      <c r="F344" s="1118"/>
      <c r="G344" s="1092"/>
      <c r="H344" s="30">
        <v>5631.31</v>
      </c>
      <c r="I344" s="31">
        <v>5631.31</v>
      </c>
      <c r="J344" s="31">
        <v>993.76</v>
      </c>
      <c r="K344" s="41">
        <v>993.76</v>
      </c>
      <c r="L344" s="790"/>
      <c r="M344" s="1036"/>
      <c r="N344" s="783"/>
      <c r="O344" s="1481"/>
      <c r="P344" s="1036"/>
      <c r="Q344" s="1306"/>
      <c r="R344" s="363"/>
      <c r="S344" s="924"/>
      <c r="T344" s="588"/>
      <c r="U344" s="538"/>
    </row>
    <row r="345" spans="1:21" s="92" customFormat="1" ht="21" customHeight="1">
      <c r="A345" s="1134"/>
      <c r="B345" s="1134"/>
      <c r="C345" s="1131"/>
      <c r="D345" s="1118"/>
      <c r="E345" s="1131"/>
      <c r="F345" s="1118"/>
      <c r="G345" s="1092"/>
      <c r="H345" s="34">
        <v>6798.52</v>
      </c>
      <c r="I345" s="33">
        <v>6798.52</v>
      </c>
      <c r="J345" s="33">
        <v>1199.75</v>
      </c>
      <c r="K345" s="43">
        <v>1199.75</v>
      </c>
      <c r="L345" s="790"/>
      <c r="M345" s="1036"/>
      <c r="N345" s="783"/>
      <c r="O345" s="1481"/>
      <c r="P345" s="1036"/>
      <c r="Q345" s="1306"/>
      <c r="R345" s="363"/>
      <c r="S345" s="924"/>
      <c r="T345" s="588"/>
      <c r="U345" s="538"/>
    </row>
    <row r="346" spans="1:21" s="92" customFormat="1" ht="21" customHeight="1">
      <c r="A346" s="1134"/>
      <c r="B346" s="1134"/>
      <c r="C346" s="1131"/>
      <c r="D346" s="1118"/>
      <c r="E346" s="1131"/>
      <c r="F346" s="1118"/>
      <c r="G346" s="1092"/>
      <c r="H346" s="34">
        <v>112.85</v>
      </c>
      <c r="I346" s="33">
        <v>112.85</v>
      </c>
      <c r="J346" s="33">
        <v>19.92</v>
      </c>
      <c r="K346" s="43">
        <v>19.92</v>
      </c>
      <c r="L346" s="790"/>
      <c r="M346" s="1036"/>
      <c r="N346" s="783"/>
      <c r="O346" s="1481"/>
      <c r="P346" s="1036"/>
      <c r="Q346" s="1306"/>
      <c r="R346" s="363"/>
      <c r="S346" s="924"/>
      <c r="T346" s="588"/>
      <c r="U346" s="538"/>
    </row>
    <row r="347" spans="1:21" s="92" customFormat="1" ht="21" customHeight="1" thickBot="1">
      <c r="A347" s="1134"/>
      <c r="B347" s="1134"/>
      <c r="C347" s="1131"/>
      <c r="D347" s="1118"/>
      <c r="E347" s="1131"/>
      <c r="F347" s="1118"/>
      <c r="G347" s="1092"/>
      <c r="H347" s="34">
        <v>11919.85</v>
      </c>
      <c r="I347" s="33">
        <v>11919.85</v>
      </c>
      <c r="J347" s="33">
        <v>2103.5</v>
      </c>
      <c r="K347" s="43">
        <v>2103.5</v>
      </c>
      <c r="L347" s="790"/>
      <c r="M347" s="1036"/>
      <c r="N347" s="783"/>
      <c r="O347" s="1481"/>
      <c r="P347" s="1036"/>
      <c r="Q347" s="1306"/>
      <c r="R347" s="363"/>
      <c r="S347" s="924"/>
      <c r="T347" s="588"/>
      <c r="U347" s="538"/>
    </row>
    <row r="348" spans="1:21" s="93" customFormat="1" ht="18.75" customHeight="1">
      <c r="A348" s="1134"/>
      <c r="B348" s="1134"/>
      <c r="C348" s="1131"/>
      <c r="D348" s="1118"/>
      <c r="E348" s="1131"/>
      <c r="F348" s="1118"/>
      <c r="G348" s="1092"/>
      <c r="H348" s="34">
        <v>968.64</v>
      </c>
      <c r="I348" s="33">
        <v>968.64</v>
      </c>
      <c r="J348" s="33">
        <v>170.94</v>
      </c>
      <c r="K348" s="43">
        <v>170.94</v>
      </c>
      <c r="L348" s="790"/>
      <c r="M348" s="1036"/>
      <c r="N348" s="783"/>
      <c r="O348" s="1481"/>
      <c r="P348" s="1036"/>
      <c r="Q348" s="1306"/>
      <c r="R348" s="363"/>
      <c r="S348" s="924"/>
      <c r="T348" s="1251">
        <f>(E328-N328)/E328*100/9</f>
        <v>1.3994003166971396</v>
      </c>
      <c r="U348" s="363"/>
    </row>
    <row r="349" spans="1:21" s="93" customFormat="1" ht="18.75" customHeight="1">
      <c r="A349" s="1134"/>
      <c r="B349" s="1134"/>
      <c r="C349" s="1131"/>
      <c r="D349" s="1118"/>
      <c r="E349" s="1131"/>
      <c r="F349" s="1118"/>
      <c r="G349" s="1092"/>
      <c r="H349" s="34">
        <v>2200.68</v>
      </c>
      <c r="I349" s="33">
        <v>2200.68</v>
      </c>
      <c r="J349" s="33">
        <v>388.36</v>
      </c>
      <c r="K349" s="43">
        <v>388.36</v>
      </c>
      <c r="L349" s="790"/>
      <c r="M349" s="1036"/>
      <c r="N349" s="783"/>
      <c r="O349" s="1481"/>
      <c r="P349" s="1036"/>
      <c r="Q349" s="1306"/>
      <c r="R349" s="363"/>
      <c r="S349" s="924"/>
      <c r="T349" s="1252"/>
      <c r="U349" s="363"/>
    </row>
    <row r="350" spans="1:21" s="93" customFormat="1" ht="18.75" customHeight="1" thickBot="1">
      <c r="A350" s="1134"/>
      <c r="B350" s="1134"/>
      <c r="C350" s="1144"/>
      <c r="D350" s="1145"/>
      <c r="E350" s="1131"/>
      <c r="F350" s="1118"/>
      <c r="G350" s="1092"/>
      <c r="H350" s="34">
        <v>10131.31</v>
      </c>
      <c r="I350" s="33">
        <v>10131.31</v>
      </c>
      <c r="J350" s="33">
        <v>1787.88</v>
      </c>
      <c r="K350" s="43">
        <v>1787.88</v>
      </c>
      <c r="L350" s="790"/>
      <c r="M350" s="1036"/>
      <c r="N350" s="783"/>
      <c r="O350" s="1481"/>
      <c r="P350" s="1036"/>
      <c r="Q350" s="1307"/>
      <c r="R350" s="363"/>
      <c r="S350" s="924"/>
      <c r="T350" s="1252"/>
      <c r="U350" s="363"/>
    </row>
    <row r="351" spans="1:21" s="93" customFormat="1" ht="18.75" customHeight="1">
      <c r="A351" s="1134"/>
      <c r="B351" s="1134"/>
      <c r="C351" s="1144"/>
      <c r="D351" s="1145"/>
      <c r="E351" s="1131"/>
      <c r="F351" s="1118"/>
      <c r="G351" s="1092"/>
      <c r="H351" s="34">
        <v>473.25</v>
      </c>
      <c r="I351" s="33">
        <v>473.25</v>
      </c>
      <c r="J351" s="33">
        <v>83.52</v>
      </c>
      <c r="K351" s="43">
        <v>83.51</v>
      </c>
      <c r="L351" s="790"/>
      <c r="M351" s="1036"/>
      <c r="N351" s="783"/>
      <c r="O351" s="1481"/>
      <c r="P351" s="1036"/>
      <c r="Q351" s="315"/>
      <c r="R351" s="363"/>
      <c r="S351" s="924"/>
      <c r="T351" s="1252"/>
      <c r="U351" s="363"/>
    </row>
    <row r="352" spans="1:21" s="93" customFormat="1" ht="18.75" customHeight="1">
      <c r="A352" s="1134"/>
      <c r="B352" s="1134"/>
      <c r="C352" s="1144"/>
      <c r="D352" s="1145"/>
      <c r="E352" s="1131"/>
      <c r="F352" s="1118"/>
      <c r="G352" s="1092"/>
      <c r="H352" s="34">
        <v>10725.5</v>
      </c>
      <c r="I352" s="33">
        <v>10725.5</v>
      </c>
      <c r="J352" s="33">
        <v>1892.75</v>
      </c>
      <c r="K352" s="43">
        <v>1892.74</v>
      </c>
      <c r="L352" s="790"/>
      <c r="M352" s="1036"/>
      <c r="N352" s="783"/>
      <c r="O352" s="1481"/>
      <c r="P352" s="1036"/>
      <c r="Q352" s="315"/>
      <c r="R352" s="363"/>
      <c r="S352" s="924"/>
      <c r="T352" s="1252"/>
      <c r="U352" s="363"/>
    </row>
    <row r="353" spans="1:21" s="93" customFormat="1" ht="18.75" customHeight="1" thickBot="1">
      <c r="A353" s="1134"/>
      <c r="B353" s="1134"/>
      <c r="C353" s="1146"/>
      <c r="D353" s="1147"/>
      <c r="E353" s="1131"/>
      <c r="F353" s="1118"/>
      <c r="G353" s="1081"/>
      <c r="H353" s="34">
        <v>2613.62</v>
      </c>
      <c r="I353" s="33">
        <v>2613.62</v>
      </c>
      <c r="J353" s="33">
        <v>461.24</v>
      </c>
      <c r="K353" s="43">
        <v>461.23</v>
      </c>
      <c r="L353" s="790"/>
      <c r="M353" s="1036"/>
      <c r="N353" s="783"/>
      <c r="O353" s="1481"/>
      <c r="P353" s="1036"/>
      <c r="Q353" s="315"/>
      <c r="R353" s="363">
        <f>E342</f>
        <v>449671.32</v>
      </c>
      <c r="S353" s="924"/>
      <c r="T353" s="1252"/>
      <c r="U353" s="363"/>
    </row>
    <row r="354" spans="1:21" s="93" customFormat="1" ht="18.75" customHeight="1" thickBot="1">
      <c r="A354" s="1134"/>
      <c r="B354" s="1134"/>
      <c r="C354" s="609"/>
      <c r="D354" s="609"/>
      <c r="E354" s="1131"/>
      <c r="F354" s="1118"/>
      <c r="G354" s="391"/>
      <c r="H354" s="34">
        <v>606.54</v>
      </c>
      <c r="I354" s="33">
        <v>606.54</v>
      </c>
      <c r="J354" s="33">
        <v>107.04</v>
      </c>
      <c r="K354" s="43">
        <v>107.04</v>
      </c>
      <c r="L354" s="790"/>
      <c r="M354" s="1036"/>
      <c r="N354" s="783"/>
      <c r="O354" s="1481"/>
      <c r="P354" s="1036"/>
      <c r="Q354" s="315"/>
      <c r="R354" s="363"/>
      <c r="S354" s="924"/>
      <c r="T354" s="1253"/>
      <c r="U354" s="363"/>
    </row>
    <row r="355" spans="1:21" s="93" customFormat="1" ht="18.75" customHeight="1">
      <c r="A355" s="1067"/>
      <c r="B355" s="1067"/>
      <c r="C355" s="609"/>
      <c r="D355" s="609"/>
      <c r="E355" s="1144"/>
      <c r="F355" s="1145"/>
      <c r="G355" s="391"/>
      <c r="H355" s="331">
        <v>435.19</v>
      </c>
      <c r="I355" s="332">
        <v>435.19</v>
      </c>
      <c r="J355" s="332">
        <v>76.81</v>
      </c>
      <c r="K355" s="414">
        <v>76.8</v>
      </c>
      <c r="L355" s="1127"/>
      <c r="M355" s="1127"/>
      <c r="N355" s="1156"/>
      <c r="O355" s="926"/>
      <c r="P355" s="926"/>
      <c r="Q355" s="315"/>
      <c r="R355" s="363"/>
      <c r="S355" s="926"/>
      <c r="T355" s="588"/>
      <c r="U355" s="363"/>
    </row>
    <row r="356" spans="1:21" s="93" customFormat="1" ht="18.75" customHeight="1" thickBot="1">
      <c r="A356" s="1067"/>
      <c r="B356" s="1067"/>
      <c r="C356" s="609"/>
      <c r="D356" s="609"/>
      <c r="E356" s="1144"/>
      <c r="F356" s="1145"/>
      <c r="G356" s="391"/>
      <c r="H356" s="331">
        <v>1575.78</v>
      </c>
      <c r="I356" s="332">
        <v>1575.78</v>
      </c>
      <c r="J356" s="332">
        <v>278.09</v>
      </c>
      <c r="K356" s="414">
        <v>278.08</v>
      </c>
      <c r="L356" s="1127"/>
      <c r="M356" s="1127"/>
      <c r="N356" s="1156"/>
      <c r="O356" s="1127"/>
      <c r="P356" s="1127"/>
      <c r="Q356" s="315"/>
      <c r="R356" s="363"/>
      <c r="S356" s="1127"/>
      <c r="T356" s="588"/>
      <c r="U356" s="363"/>
    </row>
    <row r="357" spans="1:20" ht="15" customHeight="1" thickBot="1">
      <c r="A357" s="1128"/>
      <c r="B357" s="1128"/>
      <c r="C357" s="609"/>
      <c r="D357" s="609"/>
      <c r="E357" s="1146"/>
      <c r="F357" s="1147"/>
      <c r="G357" s="391"/>
      <c r="H357" s="325">
        <v>1201.7</v>
      </c>
      <c r="I357" s="326">
        <v>1201.7</v>
      </c>
      <c r="J357" s="326">
        <v>212.06</v>
      </c>
      <c r="K357" s="338">
        <v>212.06</v>
      </c>
      <c r="L357" s="1157"/>
      <c r="M357" s="1157"/>
      <c r="N357" s="1157"/>
      <c r="O357" s="1157"/>
      <c r="P357" s="1157"/>
      <c r="Q357" s="315"/>
      <c r="R357" s="363"/>
      <c r="S357" s="1157"/>
      <c r="T357" s="1352">
        <f>(E569-N569)/E569*100/9</f>
        <v>0.31903911508136606</v>
      </c>
    </row>
    <row r="358" spans="1:20" ht="14.25" customHeight="1">
      <c r="A358" s="1133" t="s">
        <v>187</v>
      </c>
      <c r="B358" s="1133" t="s">
        <v>188</v>
      </c>
      <c r="C358" s="265">
        <f>537634+537633</f>
        <v>1075267</v>
      </c>
      <c r="D358" s="267">
        <f>59737+59737</f>
        <v>119474</v>
      </c>
      <c r="E358" s="265">
        <v>1075267</v>
      </c>
      <c r="F358" s="267">
        <v>119474</v>
      </c>
      <c r="G358" s="317">
        <v>1194741</v>
      </c>
      <c r="H358" s="265">
        <v>34117.24</v>
      </c>
      <c r="I358" s="266">
        <v>34117.24</v>
      </c>
      <c r="J358" s="266">
        <v>3790.81</v>
      </c>
      <c r="K358" s="267">
        <v>3790.8</v>
      </c>
      <c r="L358" s="789">
        <f>SUM(H358:K374)</f>
        <v>1125181.8299999996</v>
      </c>
      <c r="M358" s="923">
        <f>L358/E359*100</f>
        <v>94.17788709017265</v>
      </c>
      <c r="N358" s="1160">
        <f>74428*2+53950+53949+338811+178680*2</f>
        <v>952926</v>
      </c>
      <c r="O358" s="1035">
        <f>N358/E358*100</f>
        <v>88.62226777163254</v>
      </c>
      <c r="P358" s="1160">
        <f>148856+53949+53950+169406+169405+178680*2</f>
        <v>952926</v>
      </c>
      <c r="Q358" s="1304">
        <f>P358/E358*100</f>
        <v>88.62226777163254</v>
      </c>
      <c r="R358" s="523">
        <f>E358+F358</f>
        <v>1194741</v>
      </c>
      <c r="S358" s="923">
        <f>P358/E358*100</f>
        <v>88.62226777163254</v>
      </c>
      <c r="T358" s="1353"/>
    </row>
    <row r="359" spans="1:20" ht="14.25" customHeight="1" thickBot="1">
      <c r="A359" s="1134"/>
      <c r="B359" s="1134"/>
      <c r="C359" s="1119">
        <f>C358+D358</f>
        <v>1194741</v>
      </c>
      <c r="D359" s="1120"/>
      <c r="E359" s="1119">
        <v>1194741</v>
      </c>
      <c r="F359" s="1065"/>
      <c r="G359" s="1275">
        <v>1194741</v>
      </c>
      <c r="H359" s="287">
        <v>30299.23</v>
      </c>
      <c r="I359" s="288">
        <v>30299.23</v>
      </c>
      <c r="J359" s="288">
        <v>3366.59</v>
      </c>
      <c r="K359" s="285">
        <v>3366.58</v>
      </c>
      <c r="L359" s="790"/>
      <c r="M359" s="924"/>
      <c r="N359" s="1161"/>
      <c r="O359" s="1036"/>
      <c r="P359" s="1161"/>
      <c r="Q359" s="1307"/>
      <c r="R359" s="273"/>
      <c r="S359" s="924"/>
      <c r="T359" s="1353"/>
    </row>
    <row r="360" spans="1:20" ht="14.25" customHeight="1">
      <c r="A360" s="1134"/>
      <c r="B360" s="1134"/>
      <c r="C360" s="1121"/>
      <c r="D360" s="1122"/>
      <c r="E360" s="1121"/>
      <c r="F360" s="1058"/>
      <c r="G360" s="1006"/>
      <c r="H360" s="287">
        <v>16322.95</v>
      </c>
      <c r="I360" s="288">
        <v>16322.95</v>
      </c>
      <c r="J360" s="288">
        <v>1813.66</v>
      </c>
      <c r="K360" s="285">
        <v>1813.66</v>
      </c>
      <c r="L360" s="790"/>
      <c r="M360" s="924"/>
      <c r="N360" s="1161"/>
      <c r="O360" s="1036"/>
      <c r="P360" s="1161"/>
      <c r="Q360" s="315"/>
      <c r="R360" s="273"/>
      <c r="S360" s="924"/>
      <c r="T360" s="1353"/>
    </row>
    <row r="361" spans="1:20" ht="14.25" customHeight="1">
      <c r="A361" s="1134"/>
      <c r="B361" s="1134"/>
      <c r="C361" s="1121"/>
      <c r="D361" s="1122"/>
      <c r="E361" s="1121"/>
      <c r="F361" s="1058"/>
      <c r="G361" s="1006"/>
      <c r="H361" s="287">
        <v>22381.92</v>
      </c>
      <c r="I361" s="288">
        <v>22381.92</v>
      </c>
      <c r="J361" s="288">
        <v>2486.88</v>
      </c>
      <c r="K361" s="285">
        <v>2486.88</v>
      </c>
      <c r="L361" s="790"/>
      <c r="M361" s="924"/>
      <c r="N361" s="1161"/>
      <c r="O361" s="1036"/>
      <c r="P361" s="1161"/>
      <c r="Q361" s="315"/>
      <c r="R361" s="273"/>
      <c r="S361" s="924"/>
      <c r="T361" s="1353"/>
    </row>
    <row r="362" spans="1:20" ht="14.25" customHeight="1">
      <c r="A362" s="1134"/>
      <c r="B362" s="1134"/>
      <c r="C362" s="1121"/>
      <c r="D362" s="1122"/>
      <c r="E362" s="1121"/>
      <c r="F362" s="1058"/>
      <c r="G362" s="1006"/>
      <c r="H362" s="287">
        <v>10011.6</v>
      </c>
      <c r="I362" s="288">
        <v>10011.6</v>
      </c>
      <c r="J362" s="288">
        <v>1112.4</v>
      </c>
      <c r="K362" s="285">
        <v>1112.4</v>
      </c>
      <c r="L362" s="790"/>
      <c r="M362" s="924"/>
      <c r="N362" s="1161"/>
      <c r="O362" s="1036"/>
      <c r="P362" s="1161"/>
      <c r="Q362" s="315"/>
      <c r="R362" s="273"/>
      <c r="S362" s="924"/>
      <c r="T362" s="1353"/>
    </row>
    <row r="363" spans="1:20" ht="14.25" customHeight="1">
      <c r="A363" s="1134"/>
      <c r="B363" s="1134"/>
      <c r="C363" s="1121"/>
      <c r="D363" s="1122"/>
      <c r="E363" s="1121"/>
      <c r="F363" s="1058"/>
      <c r="G363" s="1006"/>
      <c r="H363" s="287">
        <v>7735.78</v>
      </c>
      <c r="I363" s="288">
        <v>7735.78</v>
      </c>
      <c r="J363" s="288">
        <v>859.53</v>
      </c>
      <c r="K363" s="285">
        <v>859.53</v>
      </c>
      <c r="L363" s="790"/>
      <c r="M363" s="924"/>
      <c r="N363" s="1161"/>
      <c r="O363" s="1036"/>
      <c r="P363" s="1161"/>
      <c r="Q363" s="315"/>
      <c r="R363" s="273"/>
      <c r="S363" s="924"/>
      <c r="T363" s="1353"/>
    </row>
    <row r="364" spans="1:20" ht="14.25" customHeight="1">
      <c r="A364" s="1134"/>
      <c r="B364" s="1134"/>
      <c r="C364" s="1121"/>
      <c r="D364" s="1122"/>
      <c r="E364" s="1121"/>
      <c r="F364" s="1058"/>
      <c r="G364" s="1006"/>
      <c r="H364" s="287">
        <v>1274.49</v>
      </c>
      <c r="I364" s="288">
        <v>1274.49</v>
      </c>
      <c r="J364" s="288">
        <v>141.61</v>
      </c>
      <c r="K364" s="285">
        <v>141.61</v>
      </c>
      <c r="L364" s="790"/>
      <c r="M364" s="924"/>
      <c r="N364" s="1161"/>
      <c r="O364" s="1036"/>
      <c r="P364" s="1161"/>
      <c r="Q364" s="315"/>
      <c r="R364" s="273"/>
      <c r="S364" s="924"/>
      <c r="T364" s="1353"/>
    </row>
    <row r="365" spans="1:20" ht="14.25" customHeight="1">
      <c r="A365" s="1134"/>
      <c r="B365" s="1134"/>
      <c r="C365" s="1121"/>
      <c r="D365" s="1122"/>
      <c r="E365" s="1121"/>
      <c r="F365" s="1058"/>
      <c r="G365" s="1006"/>
      <c r="H365" s="287">
        <v>7508.7</v>
      </c>
      <c r="I365" s="288">
        <v>7508.7</v>
      </c>
      <c r="J365" s="288">
        <v>834.3</v>
      </c>
      <c r="K365" s="285">
        <v>834.3</v>
      </c>
      <c r="L365" s="790"/>
      <c r="M365" s="924"/>
      <c r="N365" s="1161"/>
      <c r="O365" s="1036"/>
      <c r="P365" s="1161"/>
      <c r="Q365" s="315"/>
      <c r="R365" s="273"/>
      <c r="S365" s="924"/>
      <c r="T365" s="1353"/>
    </row>
    <row r="366" spans="1:20" ht="14.25" customHeight="1" thickBot="1">
      <c r="A366" s="1134"/>
      <c r="B366" s="1134"/>
      <c r="C366" s="1121"/>
      <c r="D366" s="1122"/>
      <c r="E366" s="1121"/>
      <c r="F366" s="1058"/>
      <c r="G366" s="1276"/>
      <c r="H366" s="287">
        <v>17444.66</v>
      </c>
      <c r="I366" s="288">
        <v>17444.66</v>
      </c>
      <c r="J366" s="288">
        <v>1938.3</v>
      </c>
      <c r="K366" s="285">
        <v>1938.3</v>
      </c>
      <c r="L366" s="790"/>
      <c r="M366" s="924"/>
      <c r="N366" s="1161"/>
      <c r="O366" s="1036"/>
      <c r="P366" s="1161"/>
      <c r="Q366" s="315"/>
      <c r="R366" s="273">
        <f>E359</f>
        <v>1194741</v>
      </c>
      <c r="S366" s="924"/>
      <c r="T366" s="1353"/>
    </row>
    <row r="367" spans="1:20" ht="14.25" customHeight="1" thickBot="1">
      <c r="A367" s="1134"/>
      <c r="B367" s="1134"/>
      <c r="C367" s="905"/>
      <c r="D367" s="906"/>
      <c r="E367" s="1121"/>
      <c r="F367" s="1058"/>
      <c r="G367" s="422"/>
      <c r="H367" s="287">
        <v>50024.32</v>
      </c>
      <c r="I367" s="288">
        <v>50024.32</v>
      </c>
      <c r="J367" s="288">
        <v>5558.26</v>
      </c>
      <c r="K367" s="285">
        <v>5558.26</v>
      </c>
      <c r="L367" s="790"/>
      <c r="M367" s="924"/>
      <c r="N367" s="1161"/>
      <c r="O367" s="1036"/>
      <c r="P367" s="1161"/>
      <c r="Q367" s="524"/>
      <c r="R367" s="525"/>
      <c r="S367" s="924"/>
      <c r="T367" s="1353"/>
    </row>
    <row r="368" spans="1:20" ht="14.25" customHeight="1">
      <c r="A368" s="1134"/>
      <c r="B368" s="1134"/>
      <c r="C368" s="45"/>
      <c r="D368" s="41"/>
      <c r="E368" s="1121"/>
      <c r="F368" s="1058"/>
      <c r="G368" s="362"/>
      <c r="H368" s="287">
        <v>35241.31</v>
      </c>
      <c r="I368" s="288">
        <v>35241.31</v>
      </c>
      <c r="J368" s="288">
        <v>3915.7</v>
      </c>
      <c r="K368" s="285">
        <v>3915.7</v>
      </c>
      <c r="L368" s="790"/>
      <c r="M368" s="924"/>
      <c r="N368" s="1161"/>
      <c r="O368" s="1036"/>
      <c r="P368" s="1161"/>
      <c r="Q368" s="315"/>
      <c r="R368" s="273"/>
      <c r="S368" s="924"/>
      <c r="T368" s="1353"/>
    </row>
    <row r="369" spans="1:20" ht="14.25" customHeight="1" thickBot="1">
      <c r="A369" s="1134"/>
      <c r="B369" s="1134"/>
      <c r="C369" s="45"/>
      <c r="D369" s="41"/>
      <c r="E369" s="1121"/>
      <c r="F369" s="1058"/>
      <c r="G369" s="362"/>
      <c r="H369" s="287">
        <v>42895.26</v>
      </c>
      <c r="I369" s="288">
        <v>42895.26</v>
      </c>
      <c r="J369" s="288">
        <v>4766.15</v>
      </c>
      <c r="K369" s="285">
        <v>4766.14</v>
      </c>
      <c r="L369" s="790"/>
      <c r="M369" s="924"/>
      <c r="N369" s="1161"/>
      <c r="O369" s="1036"/>
      <c r="P369" s="1161"/>
      <c r="Q369" s="315"/>
      <c r="R369" s="273"/>
      <c r="S369" s="924"/>
      <c r="T369" s="1354"/>
    </row>
    <row r="370" spans="1:20" ht="14.25" customHeight="1">
      <c r="A370" s="1134"/>
      <c r="B370" s="1134"/>
      <c r="C370" s="45"/>
      <c r="D370" s="41"/>
      <c r="E370" s="1121"/>
      <c r="F370" s="1058"/>
      <c r="G370" s="362"/>
      <c r="H370" s="287">
        <v>100068.35</v>
      </c>
      <c r="I370" s="288">
        <v>100068.35</v>
      </c>
      <c r="J370" s="288">
        <v>11118.71</v>
      </c>
      <c r="K370" s="285">
        <v>11118.7</v>
      </c>
      <c r="L370" s="790"/>
      <c r="M370" s="924"/>
      <c r="N370" s="1161"/>
      <c r="O370" s="1036"/>
      <c r="P370" s="1161"/>
      <c r="Q370" s="315"/>
      <c r="R370" s="273"/>
      <c r="S370" s="924"/>
      <c r="T370" s="587"/>
    </row>
    <row r="371" spans="1:20" ht="14.25" customHeight="1">
      <c r="A371" s="1134"/>
      <c r="B371" s="1134"/>
      <c r="C371" s="45"/>
      <c r="D371" s="41"/>
      <c r="E371" s="1121"/>
      <c r="F371" s="1058"/>
      <c r="G371" s="362"/>
      <c r="H371" s="287">
        <v>40759.85</v>
      </c>
      <c r="I371" s="288">
        <v>40759.85</v>
      </c>
      <c r="J371" s="288">
        <v>4528.87</v>
      </c>
      <c r="K371" s="285">
        <v>4528.87</v>
      </c>
      <c r="L371" s="790"/>
      <c r="M371" s="924"/>
      <c r="N371" s="1161"/>
      <c r="O371" s="1036"/>
      <c r="P371" s="1161"/>
      <c r="Q371" s="315"/>
      <c r="R371" s="273"/>
      <c r="S371" s="924"/>
      <c r="T371" s="587"/>
    </row>
    <row r="372" spans="1:20" ht="14.25" customHeight="1">
      <c r="A372" s="1134"/>
      <c r="B372" s="1134"/>
      <c r="C372" s="45"/>
      <c r="D372" s="41"/>
      <c r="E372" s="1121"/>
      <c r="F372" s="1058"/>
      <c r="G372" s="362"/>
      <c r="H372" s="287">
        <v>22526.1</v>
      </c>
      <c r="I372" s="288">
        <v>22526.1</v>
      </c>
      <c r="J372" s="288">
        <v>2502.9</v>
      </c>
      <c r="K372" s="285">
        <v>2502.9</v>
      </c>
      <c r="L372" s="790"/>
      <c r="M372" s="924"/>
      <c r="N372" s="1161"/>
      <c r="O372" s="1036"/>
      <c r="P372" s="1161"/>
      <c r="Q372" s="315"/>
      <c r="R372" s="273"/>
      <c r="S372" s="924"/>
      <c r="T372" s="587"/>
    </row>
    <row r="373" spans="1:20" ht="14.25" customHeight="1">
      <c r="A373" s="1134"/>
      <c r="B373" s="1134"/>
      <c r="C373" s="40"/>
      <c r="D373" s="41"/>
      <c r="E373" s="1121"/>
      <c r="F373" s="1058"/>
      <c r="G373" s="362"/>
      <c r="H373" s="287">
        <v>60211.35</v>
      </c>
      <c r="I373" s="288">
        <v>60211.35</v>
      </c>
      <c r="J373" s="288">
        <v>6690.16</v>
      </c>
      <c r="K373" s="285">
        <v>6690.15</v>
      </c>
      <c r="L373" s="790"/>
      <c r="M373" s="924"/>
      <c r="N373" s="1161"/>
      <c r="O373" s="1036"/>
      <c r="P373" s="1161"/>
      <c r="Q373" s="315"/>
      <c r="R373" s="273"/>
      <c r="S373" s="924"/>
      <c r="T373" s="587"/>
    </row>
    <row r="374" spans="1:20" ht="14.25" customHeight="1" thickBot="1">
      <c r="A374" s="1090"/>
      <c r="B374" s="1090"/>
      <c r="C374" s="40"/>
      <c r="D374" s="41"/>
      <c r="E374" s="905"/>
      <c r="F374" s="1264"/>
      <c r="G374" s="362"/>
      <c r="H374" s="282">
        <v>7508.7</v>
      </c>
      <c r="I374" s="283">
        <v>7508.7</v>
      </c>
      <c r="J374" s="283">
        <v>834.3</v>
      </c>
      <c r="K374" s="284">
        <v>834.3</v>
      </c>
      <c r="L374" s="766"/>
      <c r="M374" s="927"/>
      <c r="N374" s="1126"/>
      <c r="O374" s="1027"/>
      <c r="P374" s="1126"/>
      <c r="Q374" s="315"/>
      <c r="R374" s="273"/>
      <c r="S374" s="927"/>
      <c r="T374" s="587"/>
    </row>
    <row r="375" spans="1:20" ht="14.25" customHeight="1">
      <c r="A375" s="1133" t="s">
        <v>51</v>
      </c>
      <c r="B375" s="1097" t="s">
        <v>52</v>
      </c>
      <c r="C375" s="311">
        <v>315932</v>
      </c>
      <c r="D375" s="311">
        <v>55753</v>
      </c>
      <c r="E375" s="79">
        <v>349752.94</v>
      </c>
      <c r="F375" s="80">
        <v>61721.12</v>
      </c>
      <c r="G375" s="348">
        <v>411474.06</v>
      </c>
      <c r="H375" s="322">
        <v>21655.27</v>
      </c>
      <c r="I375" s="323">
        <v>21655.27</v>
      </c>
      <c r="J375" s="323">
        <v>3821.52</v>
      </c>
      <c r="K375" s="324">
        <v>3821.518953727677</v>
      </c>
      <c r="L375" s="1158">
        <f>SUM(H375:K379)</f>
        <v>365664.78895372764</v>
      </c>
      <c r="M375" s="1160">
        <f>L375/E376*100</f>
        <v>88.86703306491</v>
      </c>
      <c r="N375" s="1077">
        <v>310815.12686715793</v>
      </c>
      <c r="O375" s="1251">
        <f>N375/E375*100</f>
        <v>88.86705194448342</v>
      </c>
      <c r="P375" s="1251">
        <v>310308</v>
      </c>
      <c r="Q375" s="1345">
        <f>P375/E375*100</f>
        <v>88.72205620344464</v>
      </c>
      <c r="R375" s="292">
        <f>E375+F375</f>
        <v>411474.06</v>
      </c>
      <c r="S375" s="1345">
        <f>P375/E375*100</f>
        <v>88.72205620344464</v>
      </c>
      <c r="T375" s="587"/>
    </row>
    <row r="376" spans="1:20" ht="14.25" customHeight="1" thickBot="1">
      <c r="A376" s="1134"/>
      <c r="B376" s="1059"/>
      <c r="C376" s="1111">
        <f>SUM(C375:D375)</f>
        <v>371685</v>
      </c>
      <c r="D376" s="1112"/>
      <c r="E376" s="1111">
        <v>411474.06</v>
      </c>
      <c r="F376" s="1112"/>
      <c r="G376" s="1031">
        <v>411474.06</v>
      </c>
      <c r="H376" s="331">
        <v>27287.41</v>
      </c>
      <c r="I376" s="332">
        <v>27287.41</v>
      </c>
      <c r="J376" s="332">
        <v>4815.42</v>
      </c>
      <c r="K376" s="333">
        <v>4815.42</v>
      </c>
      <c r="L376" s="1159"/>
      <c r="M376" s="1161"/>
      <c r="N376" s="1075"/>
      <c r="O376" s="1252"/>
      <c r="P376" s="1252"/>
      <c r="Q376" s="1346"/>
      <c r="R376" s="292"/>
      <c r="S376" s="1346"/>
      <c r="T376" s="587"/>
    </row>
    <row r="377" spans="1:21" s="93" customFormat="1" ht="15" customHeight="1">
      <c r="A377" s="1134"/>
      <c r="B377" s="1059"/>
      <c r="C377" s="1093"/>
      <c r="D377" s="1094"/>
      <c r="E377" s="1093"/>
      <c r="F377" s="1094"/>
      <c r="G377" s="1032"/>
      <c r="H377" s="331">
        <v>31596.56</v>
      </c>
      <c r="I377" s="332">
        <v>31596.56</v>
      </c>
      <c r="J377" s="332">
        <v>5575.86</v>
      </c>
      <c r="K377" s="333">
        <v>5575.86</v>
      </c>
      <c r="L377" s="1159"/>
      <c r="M377" s="1161"/>
      <c r="N377" s="1075"/>
      <c r="O377" s="1252"/>
      <c r="P377" s="1252"/>
      <c r="Q377" s="1346"/>
      <c r="R377" s="292"/>
      <c r="S377" s="1346"/>
      <c r="T377" s="1350" t="e">
        <f>(E695-N695)/E695*100/9</f>
        <v>#DIV/0!</v>
      </c>
      <c r="U377" s="363"/>
    </row>
    <row r="378" spans="1:21" s="93" customFormat="1" ht="15" customHeight="1">
      <c r="A378" s="1134"/>
      <c r="B378" s="1059"/>
      <c r="C378" s="1093"/>
      <c r="D378" s="1094"/>
      <c r="E378" s="1093"/>
      <c r="F378" s="1094"/>
      <c r="G378" s="1032"/>
      <c r="H378" s="331">
        <v>42754.18</v>
      </c>
      <c r="I378" s="332">
        <v>42754.18</v>
      </c>
      <c r="J378" s="332">
        <v>7544.86</v>
      </c>
      <c r="K378" s="333">
        <v>7544.86</v>
      </c>
      <c r="L378" s="1159"/>
      <c r="M378" s="1161"/>
      <c r="N378" s="1075"/>
      <c r="O378" s="1252"/>
      <c r="P378" s="1252"/>
      <c r="Q378" s="1346"/>
      <c r="R378" s="292"/>
      <c r="S378" s="1346"/>
      <c r="T378" s="1370"/>
      <c r="U378" s="363"/>
    </row>
    <row r="379" spans="1:21" s="93" customFormat="1" ht="18.75" customHeight="1" thickBot="1">
      <c r="A379" s="1090"/>
      <c r="B379" s="1060"/>
      <c r="C379" s="1095"/>
      <c r="D379" s="1096"/>
      <c r="E379" s="1095"/>
      <c r="F379" s="1096"/>
      <c r="G379" s="1033"/>
      <c r="H379" s="346">
        <v>32114.11</v>
      </c>
      <c r="I379" s="350">
        <v>32114.11</v>
      </c>
      <c r="J379" s="350">
        <v>5667.21</v>
      </c>
      <c r="K379" s="351">
        <v>5667.2</v>
      </c>
      <c r="L379" s="1113"/>
      <c r="M379" s="1126"/>
      <c r="N379" s="1076"/>
      <c r="O379" s="1253"/>
      <c r="P379" s="1253"/>
      <c r="Q379" s="1347"/>
      <c r="R379" s="292">
        <f>E376</f>
        <v>411474.06</v>
      </c>
      <c r="S379" s="1347"/>
      <c r="T379" s="1370"/>
      <c r="U379" s="363"/>
    </row>
    <row r="380" spans="1:21" s="93" customFormat="1" ht="18.75" customHeight="1" thickBot="1">
      <c r="A380" s="1133" t="s">
        <v>63</v>
      </c>
      <c r="B380" s="1133" t="s">
        <v>64</v>
      </c>
      <c r="C380" s="25">
        <v>363068</v>
      </c>
      <c r="D380" s="20">
        <v>64071</v>
      </c>
      <c r="E380" s="79">
        <v>404947.76</v>
      </c>
      <c r="F380" s="78">
        <v>71461.44</v>
      </c>
      <c r="G380" s="367">
        <v>476409.2</v>
      </c>
      <c r="H380" s="322">
        <v>4105.150700391689</v>
      </c>
      <c r="I380" s="323">
        <v>4105.150700391689</v>
      </c>
      <c r="J380" s="323">
        <v>724.4383588926509</v>
      </c>
      <c r="K380" s="324">
        <v>724.4383588926509</v>
      </c>
      <c r="L380" s="1158">
        <f>SUM(H380:K390)</f>
        <v>424563.67811856855</v>
      </c>
      <c r="M380" s="1160">
        <f>L380/E381*100</f>
        <v>89.1174389828258</v>
      </c>
      <c r="N380" s="1077">
        <f>360878.88</f>
        <v>360878.88</v>
      </c>
      <c r="O380" s="1251">
        <f>N380/E380*100</f>
        <v>89.11739133956439</v>
      </c>
      <c r="P380" s="1251">
        <v>339118.55</v>
      </c>
      <c r="Q380" s="1339">
        <f>P380/E380*100</f>
        <v>83.74377722202982</v>
      </c>
      <c r="R380" s="363">
        <f>E380+F380</f>
        <v>476409.2</v>
      </c>
      <c r="S380" s="920">
        <f>P380/E380*100</f>
        <v>83.74377722202982</v>
      </c>
      <c r="T380" s="1351"/>
      <c r="U380" s="363"/>
    </row>
    <row r="381" spans="1:21" s="93" customFormat="1" ht="18.75" customHeight="1">
      <c r="A381" s="1134"/>
      <c r="B381" s="1134"/>
      <c r="C381" s="1129">
        <f>SUM(C380:D380)</f>
        <v>427139</v>
      </c>
      <c r="D381" s="1130"/>
      <c r="E381" s="1129">
        <v>476409.2</v>
      </c>
      <c r="F381" s="1130"/>
      <c r="G381" s="1160">
        <v>476409.2</v>
      </c>
      <c r="H381" s="342">
        <v>11974.13</v>
      </c>
      <c r="I381" s="336">
        <v>11974.13</v>
      </c>
      <c r="J381" s="336">
        <v>2113.08</v>
      </c>
      <c r="K381" s="343">
        <v>2113.08</v>
      </c>
      <c r="L381" s="1159"/>
      <c r="M381" s="1161"/>
      <c r="N381" s="1075"/>
      <c r="O381" s="1252"/>
      <c r="P381" s="1252"/>
      <c r="Q381" s="1356"/>
      <c r="R381" s="363"/>
      <c r="S381" s="921"/>
      <c r="T381" s="590"/>
      <c r="U381" s="363"/>
    </row>
    <row r="382" spans="1:21" s="93" customFormat="1" ht="18.75" customHeight="1">
      <c r="A382" s="1134"/>
      <c r="B382" s="1134"/>
      <c r="C382" s="1131"/>
      <c r="D382" s="1118"/>
      <c r="E382" s="1131"/>
      <c r="F382" s="1118"/>
      <c r="G382" s="1161"/>
      <c r="H382" s="331">
        <v>10401.42</v>
      </c>
      <c r="I382" s="332">
        <v>10401.42</v>
      </c>
      <c r="J382" s="332">
        <v>1835.54</v>
      </c>
      <c r="K382" s="333">
        <v>1835.54</v>
      </c>
      <c r="L382" s="1159"/>
      <c r="M382" s="1161"/>
      <c r="N382" s="1075"/>
      <c r="O382" s="1252"/>
      <c r="P382" s="1252"/>
      <c r="Q382" s="1356"/>
      <c r="R382" s="363"/>
      <c r="S382" s="921"/>
      <c r="T382" s="590"/>
      <c r="U382" s="363"/>
    </row>
    <row r="383" spans="1:21" s="93" customFormat="1" ht="18.75" customHeight="1">
      <c r="A383" s="1134"/>
      <c r="B383" s="1134"/>
      <c r="C383" s="1131"/>
      <c r="D383" s="1118"/>
      <c r="E383" s="1131"/>
      <c r="F383" s="1118"/>
      <c r="G383" s="1161"/>
      <c r="H383" s="331">
        <v>29193.15</v>
      </c>
      <c r="I383" s="332">
        <v>29193.15</v>
      </c>
      <c r="J383" s="332">
        <v>5151.73</v>
      </c>
      <c r="K383" s="333">
        <v>5151.73</v>
      </c>
      <c r="L383" s="1159"/>
      <c r="M383" s="1161"/>
      <c r="N383" s="1075"/>
      <c r="O383" s="1252"/>
      <c r="P383" s="1252"/>
      <c r="Q383" s="1356"/>
      <c r="R383" s="363"/>
      <c r="S383" s="921"/>
      <c r="T383" s="588"/>
      <c r="U383" s="363"/>
    </row>
    <row r="384" spans="1:21" s="93" customFormat="1" ht="18.75" customHeight="1">
      <c r="A384" s="1134"/>
      <c r="B384" s="1134"/>
      <c r="C384" s="1131"/>
      <c r="D384" s="1118"/>
      <c r="E384" s="1131"/>
      <c r="F384" s="1118"/>
      <c r="G384" s="1161"/>
      <c r="H384" s="325">
        <v>23550.75</v>
      </c>
      <c r="I384" s="326">
        <v>23550.75</v>
      </c>
      <c r="J384" s="326">
        <v>4156.02</v>
      </c>
      <c r="K384" s="327">
        <v>4156.02</v>
      </c>
      <c r="L384" s="1159"/>
      <c r="M384" s="1161"/>
      <c r="N384" s="1075"/>
      <c r="O384" s="1252"/>
      <c r="P384" s="1252"/>
      <c r="Q384" s="1356"/>
      <c r="R384" s="363"/>
      <c r="S384" s="921"/>
      <c r="T384" s="588"/>
      <c r="U384" s="363"/>
    </row>
    <row r="385" spans="1:21" s="93" customFormat="1" ht="18.75" customHeight="1" thickBot="1">
      <c r="A385" s="1134"/>
      <c r="B385" s="1134"/>
      <c r="C385" s="1131"/>
      <c r="D385" s="1118"/>
      <c r="E385" s="1131"/>
      <c r="F385" s="1118"/>
      <c r="G385" s="1161"/>
      <c r="H385" s="331">
        <v>10163.53</v>
      </c>
      <c r="I385" s="332">
        <v>10163.53</v>
      </c>
      <c r="J385" s="332">
        <v>1793.57</v>
      </c>
      <c r="K385" s="333">
        <v>1793.56</v>
      </c>
      <c r="L385" s="1159"/>
      <c r="M385" s="1161"/>
      <c r="N385" s="1075"/>
      <c r="O385" s="1252"/>
      <c r="P385" s="1252"/>
      <c r="Q385" s="1356"/>
      <c r="R385" s="363"/>
      <c r="S385" s="921"/>
      <c r="T385" s="588"/>
      <c r="U385" s="363"/>
    </row>
    <row r="386" spans="1:21" s="93" customFormat="1" ht="26.25" customHeight="1">
      <c r="A386" s="1134"/>
      <c r="B386" s="1134"/>
      <c r="C386" s="1131"/>
      <c r="D386" s="1118"/>
      <c r="E386" s="1131"/>
      <c r="F386" s="1118"/>
      <c r="G386" s="1161"/>
      <c r="H386" s="331">
        <v>32960.43</v>
      </c>
      <c r="I386" s="332">
        <v>32960.43</v>
      </c>
      <c r="J386" s="332">
        <v>5816.55</v>
      </c>
      <c r="K386" s="333">
        <v>5816.54</v>
      </c>
      <c r="L386" s="1159"/>
      <c r="M386" s="1161"/>
      <c r="N386" s="1075"/>
      <c r="O386" s="1252"/>
      <c r="P386" s="1252"/>
      <c r="Q386" s="1356"/>
      <c r="R386" s="363"/>
      <c r="S386" s="921"/>
      <c r="T386" s="1350">
        <f>(C563/9)/C563*100</f>
        <v>11.111111111111112</v>
      </c>
      <c r="U386" s="363"/>
    </row>
    <row r="387" spans="1:21" s="93" customFormat="1" ht="26.25" customHeight="1" thickBot="1">
      <c r="A387" s="1134"/>
      <c r="B387" s="1134"/>
      <c r="C387" s="1131"/>
      <c r="D387" s="1118"/>
      <c r="E387" s="1131"/>
      <c r="F387" s="1118"/>
      <c r="G387" s="1161"/>
      <c r="H387" s="331">
        <v>23658.68</v>
      </c>
      <c r="I387" s="332">
        <v>23658.68</v>
      </c>
      <c r="J387" s="332">
        <v>4175.06</v>
      </c>
      <c r="K387" s="333">
        <v>4175.06</v>
      </c>
      <c r="L387" s="1159"/>
      <c r="M387" s="1161"/>
      <c r="N387" s="1075"/>
      <c r="O387" s="1252"/>
      <c r="P387" s="1252"/>
      <c r="Q387" s="1340"/>
      <c r="R387" s="363"/>
      <c r="S387" s="921"/>
      <c r="T387" s="1351">
        <f>(C564/9)/C564*100</f>
        <v>11.11111111111111</v>
      </c>
      <c r="U387" s="363"/>
    </row>
    <row r="388" spans="1:21" s="93" customFormat="1" ht="26.25" customHeight="1" thickBot="1">
      <c r="A388" s="1134"/>
      <c r="B388" s="1134"/>
      <c r="C388" s="1131"/>
      <c r="D388" s="1118"/>
      <c r="E388" s="1131"/>
      <c r="F388" s="1118"/>
      <c r="G388" s="1126"/>
      <c r="H388" s="331">
        <v>17078.39</v>
      </c>
      <c r="I388" s="332">
        <v>17078.39</v>
      </c>
      <c r="J388" s="332">
        <v>3013.85</v>
      </c>
      <c r="K388" s="333">
        <v>3013.84</v>
      </c>
      <c r="L388" s="1159"/>
      <c r="M388" s="1161"/>
      <c r="N388" s="1075"/>
      <c r="O388" s="1252"/>
      <c r="P388" s="1252"/>
      <c r="Q388" s="315"/>
      <c r="R388" s="363">
        <f>E381</f>
        <v>476409.2</v>
      </c>
      <c r="S388" s="921"/>
      <c r="T388" s="590"/>
      <c r="U388" s="363"/>
    </row>
    <row r="389" spans="1:21" s="93" customFormat="1" ht="21.75" customHeight="1" thickBot="1">
      <c r="A389" s="1134"/>
      <c r="B389" s="1134"/>
      <c r="C389" s="1146"/>
      <c r="D389" s="1147"/>
      <c r="E389" s="1131"/>
      <c r="F389" s="1118"/>
      <c r="G389" s="403"/>
      <c r="H389" s="331">
        <v>3196.58</v>
      </c>
      <c r="I389" s="332">
        <v>3196.58</v>
      </c>
      <c r="J389" s="332">
        <v>564.1</v>
      </c>
      <c r="K389" s="333">
        <v>564.1</v>
      </c>
      <c r="L389" s="1159"/>
      <c r="M389" s="1161"/>
      <c r="N389" s="1075"/>
      <c r="O389" s="1252"/>
      <c r="P389" s="1252"/>
      <c r="Q389" s="315"/>
      <c r="R389" s="363"/>
      <c r="S389" s="921"/>
      <c r="T389" s="590"/>
      <c r="U389" s="363"/>
    </row>
    <row r="390" spans="1:21" s="93" customFormat="1" ht="20.25" customHeight="1" thickBot="1">
      <c r="A390" s="1090"/>
      <c r="B390" s="1090"/>
      <c r="C390" s="609"/>
      <c r="D390" s="609"/>
      <c r="E390" s="1102"/>
      <c r="F390" s="1103"/>
      <c r="G390" s="338"/>
      <c r="H390" s="30">
        <v>14157.35</v>
      </c>
      <c r="I390" s="31">
        <v>14157.35</v>
      </c>
      <c r="J390" s="31">
        <v>2498.36</v>
      </c>
      <c r="K390" s="32">
        <v>2498.35</v>
      </c>
      <c r="L390" s="1113"/>
      <c r="M390" s="1126"/>
      <c r="N390" s="1076"/>
      <c r="O390" s="1253"/>
      <c r="P390" s="1253"/>
      <c r="Q390" s="315"/>
      <c r="R390" s="363"/>
      <c r="S390" s="922"/>
      <c r="T390" s="590"/>
      <c r="U390" s="363"/>
    </row>
    <row r="391" spans="1:21" ht="17.25" customHeight="1">
      <c r="A391" s="1133" t="s">
        <v>55</v>
      </c>
      <c r="B391" s="1133" t="s">
        <v>56</v>
      </c>
      <c r="C391" s="311">
        <v>406304</v>
      </c>
      <c r="D391" s="311">
        <v>71701</v>
      </c>
      <c r="E391" s="46">
        <v>453980.24</v>
      </c>
      <c r="F391" s="20">
        <v>80114.22</v>
      </c>
      <c r="G391" s="368">
        <v>534094.46</v>
      </c>
      <c r="H391" s="57">
        <v>555.36</v>
      </c>
      <c r="I391" s="56">
        <v>555.36</v>
      </c>
      <c r="J391" s="56">
        <v>98.01</v>
      </c>
      <c r="K391" s="436">
        <v>98.01</v>
      </c>
      <c r="L391" s="789">
        <f>SUM(H391:K403)</f>
        <v>530681.4900000001</v>
      </c>
      <c r="M391" s="1035">
        <f>L391/E392*100</f>
        <v>99.36098007831801</v>
      </c>
      <c r="N391" s="1160">
        <v>406486.36</v>
      </c>
      <c r="O391" s="1035">
        <f>N391/E391*100</f>
        <v>89.53833761575173</v>
      </c>
      <c r="P391" s="1035">
        <f>8355.98612494191+79152+79151+91177*2+16698+16699</f>
        <v>382409.9861249419</v>
      </c>
      <c r="Q391" s="1304">
        <f>P391/E391*100</f>
        <v>84.23494073771623</v>
      </c>
      <c r="R391" s="363">
        <f>E391+F391</f>
        <v>534094.46</v>
      </c>
      <c r="S391" s="923">
        <f>P391/E391*100</f>
        <v>84.23494073771623</v>
      </c>
      <c r="T391" s="1367">
        <f>(E417-N417)/E417*100/9</f>
        <v>1.1301803288084604</v>
      </c>
      <c r="U391" s="90"/>
    </row>
    <row r="392" spans="1:21" ht="17.25" customHeight="1">
      <c r="A392" s="1134"/>
      <c r="B392" s="1134"/>
      <c r="C392" s="1119">
        <f>SUM(C391:D391)</f>
        <v>478005</v>
      </c>
      <c r="D392" s="1120"/>
      <c r="E392" s="1119">
        <v>534094.46</v>
      </c>
      <c r="F392" s="1065"/>
      <c r="G392" s="1405">
        <v>534094.46</v>
      </c>
      <c r="H392" s="34">
        <v>2400.59</v>
      </c>
      <c r="I392" s="33">
        <v>2400.59</v>
      </c>
      <c r="J392" s="33">
        <v>423.63</v>
      </c>
      <c r="K392" s="36">
        <v>423.63</v>
      </c>
      <c r="L392" s="790"/>
      <c r="M392" s="1036"/>
      <c r="N392" s="1161"/>
      <c r="O392" s="1036"/>
      <c r="P392" s="1036"/>
      <c r="Q392" s="1306"/>
      <c r="R392" s="363"/>
      <c r="S392" s="924"/>
      <c r="T392" s="1368"/>
      <c r="U392" s="90"/>
    </row>
    <row r="393" spans="1:21" ht="17.25" customHeight="1">
      <c r="A393" s="1134"/>
      <c r="B393" s="1134"/>
      <c r="C393" s="1121"/>
      <c r="D393" s="1122"/>
      <c r="E393" s="1121"/>
      <c r="F393" s="1058"/>
      <c r="G393" s="1406"/>
      <c r="H393" s="12">
        <v>27746.8</v>
      </c>
      <c r="I393" s="11">
        <v>27746.8</v>
      </c>
      <c r="J393" s="11">
        <v>4896.5</v>
      </c>
      <c r="K393" s="24">
        <v>4896.5</v>
      </c>
      <c r="L393" s="790"/>
      <c r="M393" s="1036"/>
      <c r="N393" s="1161"/>
      <c r="O393" s="1036"/>
      <c r="P393" s="1036"/>
      <c r="Q393" s="1306"/>
      <c r="R393" s="363"/>
      <c r="S393" s="924"/>
      <c r="T393" s="1368"/>
      <c r="U393" s="90"/>
    </row>
    <row r="394" spans="1:21" ht="17.25" customHeight="1" thickBot="1">
      <c r="A394" s="1134"/>
      <c r="B394" s="1134"/>
      <c r="C394" s="1121"/>
      <c r="D394" s="1122"/>
      <c r="E394" s="1121"/>
      <c r="F394" s="1058"/>
      <c r="G394" s="1406"/>
      <c r="H394" s="34">
        <v>19404.51</v>
      </c>
      <c r="I394" s="33">
        <v>19404.51</v>
      </c>
      <c r="J394" s="33">
        <v>3424.33</v>
      </c>
      <c r="K394" s="36">
        <v>3424.33</v>
      </c>
      <c r="L394" s="790"/>
      <c r="M394" s="1036"/>
      <c r="N394" s="1161"/>
      <c r="O394" s="1036"/>
      <c r="P394" s="1036"/>
      <c r="Q394" s="1306"/>
      <c r="R394" s="363"/>
      <c r="S394" s="924"/>
      <c r="T394" s="1369"/>
      <c r="U394" s="90"/>
    </row>
    <row r="395" spans="1:21" ht="17.25" customHeight="1">
      <c r="A395" s="1134"/>
      <c r="B395" s="1134"/>
      <c r="C395" s="1121"/>
      <c r="D395" s="1122"/>
      <c r="E395" s="1121"/>
      <c r="F395" s="1058"/>
      <c r="G395" s="1406"/>
      <c r="H395" s="34">
        <v>33310.84</v>
      </c>
      <c r="I395" s="33">
        <v>33310.84</v>
      </c>
      <c r="J395" s="33">
        <v>5878.39</v>
      </c>
      <c r="K395" s="36">
        <v>5878.39</v>
      </c>
      <c r="L395" s="790"/>
      <c r="M395" s="1036"/>
      <c r="N395" s="1161"/>
      <c r="O395" s="1036"/>
      <c r="P395" s="1036"/>
      <c r="Q395" s="1306"/>
      <c r="R395" s="363"/>
      <c r="S395" s="924"/>
      <c r="T395" s="587"/>
      <c r="U395" s="90"/>
    </row>
    <row r="396" spans="1:21" ht="17.25" customHeight="1" thickBot="1">
      <c r="A396" s="1134"/>
      <c r="B396" s="1134"/>
      <c r="C396" s="1121"/>
      <c r="D396" s="1122"/>
      <c r="E396" s="1121"/>
      <c r="F396" s="1058"/>
      <c r="G396" s="1406"/>
      <c r="H396" s="34">
        <v>14383.72</v>
      </c>
      <c r="I396" s="33">
        <v>14383.72</v>
      </c>
      <c r="J396" s="33">
        <v>2538.31</v>
      </c>
      <c r="K396" s="36">
        <v>2538.31</v>
      </c>
      <c r="L396" s="790"/>
      <c r="M396" s="1036"/>
      <c r="N396" s="1161"/>
      <c r="O396" s="1036"/>
      <c r="P396" s="1036"/>
      <c r="Q396" s="1306"/>
      <c r="R396" s="363"/>
      <c r="S396" s="924"/>
      <c r="T396" s="587"/>
      <c r="U396" s="90"/>
    </row>
    <row r="397" spans="1:21" s="93" customFormat="1" ht="12.75">
      <c r="A397" s="1134"/>
      <c r="B397" s="1134"/>
      <c r="C397" s="1121"/>
      <c r="D397" s="1122"/>
      <c r="E397" s="1121"/>
      <c r="F397" s="1058"/>
      <c r="G397" s="1406"/>
      <c r="H397" s="34">
        <v>21566.86</v>
      </c>
      <c r="I397" s="36">
        <v>21566.86</v>
      </c>
      <c r="J397" s="33">
        <v>3805.92</v>
      </c>
      <c r="K397" s="36">
        <v>3805.92</v>
      </c>
      <c r="L397" s="790"/>
      <c r="M397" s="1036"/>
      <c r="N397" s="1161"/>
      <c r="O397" s="1036"/>
      <c r="P397" s="1036"/>
      <c r="Q397" s="1306"/>
      <c r="R397" s="363"/>
      <c r="S397" s="924"/>
      <c r="T397" s="1359">
        <f>(E508-N508)/E508*100/9</f>
        <v>0.7922534277876918</v>
      </c>
      <c r="U397" s="363"/>
    </row>
    <row r="398" spans="1:21" s="93" customFormat="1" ht="12.75">
      <c r="A398" s="1134"/>
      <c r="B398" s="1134"/>
      <c r="C398" s="1121"/>
      <c r="D398" s="1122"/>
      <c r="E398" s="1121"/>
      <c r="F398" s="1058"/>
      <c r="G398" s="1406"/>
      <c r="H398" s="287">
        <v>27054.46</v>
      </c>
      <c r="I398" s="399">
        <v>27054.46</v>
      </c>
      <c r="J398" s="288">
        <v>4774.32</v>
      </c>
      <c r="K398" s="432">
        <v>4774.32</v>
      </c>
      <c r="L398" s="790"/>
      <c r="M398" s="1036"/>
      <c r="N398" s="1161"/>
      <c r="O398" s="1036"/>
      <c r="P398" s="1036"/>
      <c r="Q398" s="1306"/>
      <c r="R398" s="363"/>
      <c r="S398" s="924"/>
      <c r="T398" s="1360"/>
      <c r="U398" s="363"/>
    </row>
    <row r="399" spans="1:21" s="93" customFormat="1" ht="12.75">
      <c r="A399" s="1134"/>
      <c r="B399" s="1134"/>
      <c r="C399" s="1121"/>
      <c r="D399" s="1122"/>
      <c r="E399" s="1121"/>
      <c r="F399" s="1058"/>
      <c r="G399" s="1406"/>
      <c r="H399" s="287">
        <v>17484.45</v>
      </c>
      <c r="I399" s="399">
        <v>17484.45</v>
      </c>
      <c r="J399" s="288">
        <v>3085.49</v>
      </c>
      <c r="K399" s="437">
        <v>3085.49</v>
      </c>
      <c r="L399" s="790"/>
      <c r="M399" s="1036"/>
      <c r="N399" s="1161"/>
      <c r="O399" s="1036"/>
      <c r="P399" s="1036"/>
      <c r="Q399" s="1306"/>
      <c r="R399" s="363"/>
      <c r="S399" s="924"/>
      <c r="T399" s="1360"/>
      <c r="U399" s="363"/>
    </row>
    <row r="400" spans="1:21" s="93" customFormat="1" ht="13.5" thickBot="1">
      <c r="A400" s="1134"/>
      <c r="B400" s="1134"/>
      <c r="C400" s="1388"/>
      <c r="D400" s="1389"/>
      <c r="E400" s="1121"/>
      <c r="F400" s="1058"/>
      <c r="G400" s="1407"/>
      <c r="H400" s="287">
        <v>10687.82</v>
      </c>
      <c r="I400" s="399">
        <v>10687.82</v>
      </c>
      <c r="J400" s="288">
        <v>1886.1</v>
      </c>
      <c r="K400" s="437">
        <v>1886.09</v>
      </c>
      <c r="L400" s="790"/>
      <c r="M400" s="1036"/>
      <c r="N400" s="1161"/>
      <c r="O400" s="1036"/>
      <c r="P400" s="1036"/>
      <c r="Q400" s="1307"/>
      <c r="R400" s="363">
        <f>E392</f>
        <v>534094.46</v>
      </c>
      <c r="S400" s="924"/>
      <c r="T400" s="1362"/>
      <c r="U400" s="363"/>
    </row>
    <row r="401" spans="1:21" s="93" customFormat="1" ht="13.5" thickBot="1">
      <c r="A401" s="1134"/>
      <c r="B401" s="1134"/>
      <c r="C401" s="1390"/>
      <c r="D401" s="1391"/>
      <c r="E401" s="1121"/>
      <c r="F401" s="1058"/>
      <c r="G401" s="434"/>
      <c r="H401" s="287">
        <v>26279.93</v>
      </c>
      <c r="I401" s="399">
        <v>26279.93</v>
      </c>
      <c r="J401" s="288">
        <v>4637.63</v>
      </c>
      <c r="K401" s="437">
        <v>4637.63</v>
      </c>
      <c r="L401" s="790"/>
      <c r="M401" s="1036"/>
      <c r="N401" s="1161"/>
      <c r="O401" s="1036"/>
      <c r="P401" s="1036"/>
      <c r="Q401" s="315"/>
      <c r="R401" s="363"/>
      <c r="S401" s="924"/>
      <c r="T401" s="590"/>
      <c r="U401" s="363"/>
    </row>
    <row r="402" spans="1:21" s="93" customFormat="1" ht="12.75">
      <c r="A402" s="1134"/>
      <c r="B402" s="1134"/>
      <c r="C402" s="531"/>
      <c r="D402" s="581"/>
      <c r="E402" s="1121"/>
      <c r="F402" s="1058"/>
      <c r="G402" s="434"/>
      <c r="H402" s="287">
        <v>14765.27</v>
      </c>
      <c r="I402" s="399">
        <v>14765.27</v>
      </c>
      <c r="J402" s="288">
        <v>2605.62</v>
      </c>
      <c r="K402" s="437">
        <v>2605.63</v>
      </c>
      <c r="L402" s="790"/>
      <c r="M402" s="1036"/>
      <c r="N402" s="1161"/>
      <c r="O402" s="1036"/>
      <c r="P402" s="1036"/>
      <c r="Q402" s="315"/>
      <c r="R402" s="363"/>
      <c r="S402" s="924"/>
      <c r="T402" s="590"/>
      <c r="U402" s="363"/>
    </row>
    <row r="403" spans="1:21" s="93" customFormat="1" ht="13.5" thickBot="1">
      <c r="A403" s="1128"/>
      <c r="B403" s="1128"/>
      <c r="C403" s="531"/>
      <c r="D403" s="581"/>
      <c r="E403" s="1146"/>
      <c r="F403" s="1107"/>
      <c r="G403" s="434"/>
      <c r="H403" s="282">
        <v>9899</v>
      </c>
      <c r="I403" s="355">
        <v>9899</v>
      </c>
      <c r="J403" s="283">
        <v>1746.89</v>
      </c>
      <c r="K403" s="354">
        <v>1746.88</v>
      </c>
      <c r="L403" s="1157"/>
      <c r="M403" s="1157"/>
      <c r="N403" s="1157"/>
      <c r="O403" s="1157"/>
      <c r="P403" s="1157"/>
      <c r="Q403" s="315"/>
      <c r="R403" s="363"/>
      <c r="S403" s="1157"/>
      <c r="T403" s="590"/>
      <c r="U403" s="363"/>
    </row>
    <row r="404" spans="1:21" s="93" customFormat="1" ht="12.75">
      <c r="A404" s="1133" t="s">
        <v>17</v>
      </c>
      <c r="B404" s="1097" t="s">
        <v>18</v>
      </c>
      <c r="C404" s="265">
        <v>295565</v>
      </c>
      <c r="D404" s="267">
        <v>52158</v>
      </c>
      <c r="E404" s="12">
        <v>332404.67</v>
      </c>
      <c r="F404" s="13">
        <v>58659.64</v>
      </c>
      <c r="G404" s="38">
        <v>391064.31</v>
      </c>
      <c r="H404" s="25">
        <v>0</v>
      </c>
      <c r="I404" s="19">
        <v>132961.86</v>
      </c>
      <c r="J404" s="19">
        <v>0</v>
      </c>
      <c r="K404" s="20">
        <v>23463.86</v>
      </c>
      <c r="L404" s="789">
        <f>SUM(H404:K407)</f>
        <v>371511.08999999997</v>
      </c>
      <c r="M404" s="1035">
        <f>L404/E405*100</f>
        <v>94.99999884929412</v>
      </c>
      <c r="N404" s="1077">
        <v>298209.15</v>
      </c>
      <c r="O404" s="1251">
        <f>N404/E404*100</f>
        <v>89.71268363949281</v>
      </c>
      <c r="P404" s="1251">
        <f>210223+67956</f>
        <v>278179</v>
      </c>
      <c r="Q404" s="923">
        <f>(P404/E404)*100</f>
        <v>83.68685072926323</v>
      </c>
      <c r="R404" s="420">
        <f>E404+F404</f>
        <v>391064.31</v>
      </c>
      <c r="S404" s="920">
        <f>P404/E404*100</f>
        <v>83.68685072926323</v>
      </c>
      <c r="T404" s="590"/>
      <c r="U404" s="363"/>
    </row>
    <row r="405" spans="1:21" s="93" customFormat="1" ht="13.5" thickBot="1">
      <c r="A405" s="1134"/>
      <c r="B405" s="1059"/>
      <c r="C405" s="990">
        <f>C404+D404</f>
        <v>347723</v>
      </c>
      <c r="D405" s="991"/>
      <c r="E405" s="990">
        <v>391064.31</v>
      </c>
      <c r="F405" s="991"/>
      <c r="G405" s="610"/>
      <c r="H405" s="34">
        <v>0</v>
      </c>
      <c r="I405" s="33">
        <v>9617.33</v>
      </c>
      <c r="J405" s="33">
        <v>0</v>
      </c>
      <c r="K405" s="35">
        <v>1697.18</v>
      </c>
      <c r="L405" s="790"/>
      <c r="M405" s="1036"/>
      <c r="N405" s="1075"/>
      <c r="O405" s="1252"/>
      <c r="P405" s="1252"/>
      <c r="Q405" s="924"/>
      <c r="R405" s="419"/>
      <c r="S405" s="921"/>
      <c r="T405" s="590"/>
      <c r="U405" s="363"/>
    </row>
    <row r="406" spans="1:21" ht="19.5" customHeight="1" thickBot="1">
      <c r="A406" s="1134"/>
      <c r="B406" s="1059"/>
      <c r="C406" s="982"/>
      <c r="D406" s="983"/>
      <c r="E406" s="992"/>
      <c r="F406" s="993"/>
      <c r="G406" s="63">
        <v>391064.31</v>
      </c>
      <c r="H406" s="34">
        <v>0</v>
      </c>
      <c r="I406" s="33">
        <v>38906.72</v>
      </c>
      <c r="J406" s="33">
        <v>0</v>
      </c>
      <c r="K406" s="35">
        <v>6865.89</v>
      </c>
      <c r="L406" s="790"/>
      <c r="M406" s="1036"/>
      <c r="N406" s="1075"/>
      <c r="O406" s="1252" t="e">
        <f>N406/E406*100</f>
        <v>#DIV/0!</v>
      </c>
      <c r="P406" s="1252"/>
      <c r="Q406" s="281"/>
      <c r="R406" s="419">
        <f>E405</f>
        <v>391064.31</v>
      </c>
      <c r="S406" s="921"/>
      <c r="T406" s="1352">
        <f>(E317-N317)/E317*100/9</f>
        <v>1.4555417069420278</v>
      </c>
      <c r="U406" s="90"/>
    </row>
    <row r="407" spans="1:21" ht="19.5" customHeight="1" thickBot="1">
      <c r="A407" s="1090"/>
      <c r="B407" s="1060"/>
      <c r="C407" s="354"/>
      <c r="D407" s="354"/>
      <c r="E407" s="982"/>
      <c r="F407" s="983"/>
      <c r="G407" s="63"/>
      <c r="H407" s="30">
        <v>0</v>
      </c>
      <c r="I407" s="31">
        <v>134298.52</v>
      </c>
      <c r="J407" s="31">
        <v>0</v>
      </c>
      <c r="K407" s="29">
        <v>23699.73</v>
      </c>
      <c r="L407" s="766"/>
      <c r="M407" s="1027"/>
      <c r="N407" s="1076"/>
      <c r="O407" s="1253"/>
      <c r="P407" s="1253"/>
      <c r="Q407" s="281"/>
      <c r="R407" s="419"/>
      <c r="S407" s="922"/>
      <c r="T407" s="1353"/>
      <c r="U407" s="90"/>
    </row>
    <row r="408" spans="1:21" ht="19.5" customHeight="1">
      <c r="A408" s="1133" t="s">
        <v>49</v>
      </c>
      <c r="B408" s="1133" t="s">
        <v>50</v>
      </c>
      <c r="C408" s="265">
        <v>811667</v>
      </c>
      <c r="D408" s="267">
        <v>143235</v>
      </c>
      <c r="E408" s="61">
        <v>905291.58</v>
      </c>
      <c r="F408" s="80">
        <v>159757.4</v>
      </c>
      <c r="G408" s="348">
        <v>1065048.98</v>
      </c>
      <c r="H408" s="322">
        <v>343.54</v>
      </c>
      <c r="I408" s="323">
        <v>343.54</v>
      </c>
      <c r="J408" s="323">
        <v>60.63</v>
      </c>
      <c r="K408" s="339">
        <v>60.63</v>
      </c>
      <c r="L408" s="1158">
        <f>SUM(H408:K416)</f>
        <v>1052391.9</v>
      </c>
      <c r="M408" s="1160">
        <f>L408/E409*100</f>
        <v>98.81159643944261</v>
      </c>
      <c r="N408" s="1160">
        <f>764598.53+23872+23873</f>
        <v>812343.53</v>
      </c>
      <c r="O408" s="1035">
        <f>N408/E408*100</f>
        <v>89.73280520293805</v>
      </c>
      <c r="P408" s="1035">
        <v>811667</v>
      </c>
      <c r="Q408" s="1345">
        <f>P408/E408*100</f>
        <v>89.65807458410251</v>
      </c>
      <c r="R408" s="292">
        <f>E408+F408</f>
        <v>1065048.98</v>
      </c>
      <c r="S408" s="923">
        <f>P408/E408*100</f>
        <v>89.65807458410251</v>
      </c>
      <c r="T408" s="1353"/>
      <c r="U408" s="90"/>
    </row>
    <row r="409" spans="1:21" ht="19.5" customHeight="1">
      <c r="A409" s="1134"/>
      <c r="B409" s="1134"/>
      <c r="C409" s="1111">
        <f>SUM(C408:D408)</f>
        <v>954902</v>
      </c>
      <c r="D409" s="1112"/>
      <c r="E409" s="1129">
        <v>1065048.98</v>
      </c>
      <c r="F409" s="1130"/>
      <c r="G409" s="1031">
        <v>1065048.98</v>
      </c>
      <c r="H409" s="331">
        <v>47337.83</v>
      </c>
      <c r="I409" s="332">
        <v>47337.83</v>
      </c>
      <c r="J409" s="332">
        <v>8353.73</v>
      </c>
      <c r="K409" s="414">
        <v>8353.73</v>
      </c>
      <c r="L409" s="1159"/>
      <c r="M409" s="1161"/>
      <c r="N409" s="1161"/>
      <c r="O409" s="1036"/>
      <c r="P409" s="1036"/>
      <c r="Q409" s="1346"/>
      <c r="R409" s="292"/>
      <c r="S409" s="924"/>
      <c r="T409" s="1353"/>
      <c r="U409" s="90"/>
    </row>
    <row r="410" spans="1:21" ht="19.5" customHeight="1">
      <c r="A410" s="1134"/>
      <c r="B410" s="1134"/>
      <c r="C410" s="1093"/>
      <c r="D410" s="1094"/>
      <c r="E410" s="1131"/>
      <c r="F410" s="1118"/>
      <c r="G410" s="1032"/>
      <c r="H410" s="331">
        <v>103139.04</v>
      </c>
      <c r="I410" s="332">
        <v>103139.04</v>
      </c>
      <c r="J410" s="332">
        <v>18201.02</v>
      </c>
      <c r="K410" s="414">
        <v>18201.02</v>
      </c>
      <c r="L410" s="1159"/>
      <c r="M410" s="1161"/>
      <c r="N410" s="1161"/>
      <c r="O410" s="1036"/>
      <c r="P410" s="1036"/>
      <c r="Q410" s="1346"/>
      <c r="R410" s="292"/>
      <c r="S410" s="924"/>
      <c r="T410" s="1353"/>
      <c r="U410" s="90"/>
    </row>
    <row r="411" spans="1:21" ht="19.5" customHeight="1">
      <c r="A411" s="1134"/>
      <c r="B411" s="1134"/>
      <c r="C411" s="1093"/>
      <c r="D411" s="1094"/>
      <c r="E411" s="1131"/>
      <c r="F411" s="1118"/>
      <c r="G411" s="1032"/>
      <c r="H411" s="331">
        <v>21192.69</v>
      </c>
      <c r="I411" s="332">
        <v>21192.69</v>
      </c>
      <c r="J411" s="332">
        <v>3739.89</v>
      </c>
      <c r="K411" s="414">
        <v>3739.89</v>
      </c>
      <c r="L411" s="1159"/>
      <c r="M411" s="1161"/>
      <c r="N411" s="1161"/>
      <c r="O411" s="1036"/>
      <c r="P411" s="1036"/>
      <c r="Q411" s="1346"/>
      <c r="R411" s="292"/>
      <c r="S411" s="924"/>
      <c r="T411" s="1353"/>
      <c r="U411" s="90"/>
    </row>
    <row r="412" spans="1:21" ht="19.5" customHeight="1">
      <c r="A412" s="1134"/>
      <c r="B412" s="1134"/>
      <c r="C412" s="1093"/>
      <c r="D412" s="1094"/>
      <c r="E412" s="1131"/>
      <c r="F412" s="1118"/>
      <c r="G412" s="1032"/>
      <c r="H412" s="331">
        <v>26915.34</v>
      </c>
      <c r="I412" s="332">
        <v>26915.34</v>
      </c>
      <c r="J412" s="332">
        <v>4749.77</v>
      </c>
      <c r="K412" s="414">
        <v>4749.77</v>
      </c>
      <c r="L412" s="1159"/>
      <c r="M412" s="1161"/>
      <c r="N412" s="1161"/>
      <c r="O412" s="1036"/>
      <c r="P412" s="1036"/>
      <c r="Q412" s="1346"/>
      <c r="R412" s="363"/>
      <c r="S412" s="924"/>
      <c r="T412" s="1353"/>
      <c r="U412" s="90"/>
    </row>
    <row r="413" spans="1:21" ht="19.5" customHeight="1" thickBot="1">
      <c r="A413" s="1134"/>
      <c r="B413" s="1134"/>
      <c r="C413" s="1093"/>
      <c r="D413" s="1094"/>
      <c r="E413" s="1131"/>
      <c r="F413" s="1118"/>
      <c r="G413" s="1032"/>
      <c r="H413" s="331">
        <v>23063.54</v>
      </c>
      <c r="I413" s="332">
        <v>23063.54</v>
      </c>
      <c r="J413" s="332">
        <v>4070.04</v>
      </c>
      <c r="K413" s="414">
        <v>4070.04</v>
      </c>
      <c r="L413" s="1159"/>
      <c r="M413" s="1161"/>
      <c r="N413" s="1161"/>
      <c r="O413" s="1036"/>
      <c r="P413" s="1036"/>
      <c r="Q413" s="1347"/>
      <c r="R413" s="363"/>
      <c r="S413" s="924"/>
      <c r="T413" s="1353"/>
      <c r="U413" s="90"/>
    </row>
    <row r="414" spans="1:21" ht="19.5" customHeight="1">
      <c r="A414" s="1134"/>
      <c r="B414" s="1134"/>
      <c r="C414" s="1093"/>
      <c r="D414" s="1094"/>
      <c r="E414" s="1131"/>
      <c r="F414" s="1118"/>
      <c r="G414" s="1032"/>
      <c r="H414" s="331">
        <v>69673.34</v>
      </c>
      <c r="I414" s="332">
        <v>69673.34</v>
      </c>
      <c r="J414" s="332">
        <v>12295.3</v>
      </c>
      <c r="K414" s="414">
        <v>12295.3</v>
      </c>
      <c r="L414" s="1159"/>
      <c r="M414" s="1161"/>
      <c r="N414" s="1161"/>
      <c r="O414" s="1036"/>
      <c r="P414" s="1036"/>
      <c r="Q414" s="314"/>
      <c r="R414" s="363"/>
      <c r="S414" s="924"/>
      <c r="T414" s="1353"/>
      <c r="U414" s="90"/>
    </row>
    <row r="415" spans="1:21" ht="19.5" customHeight="1" thickBot="1">
      <c r="A415" s="1134"/>
      <c r="B415" s="1134"/>
      <c r="C415" s="1095"/>
      <c r="D415" s="1096"/>
      <c r="E415" s="1131"/>
      <c r="F415" s="1118"/>
      <c r="G415" s="1033"/>
      <c r="H415" s="331">
        <v>138348.13</v>
      </c>
      <c r="I415" s="332">
        <v>138348.13</v>
      </c>
      <c r="J415" s="332">
        <v>24414.38</v>
      </c>
      <c r="K415" s="414">
        <v>24414.38</v>
      </c>
      <c r="L415" s="1159"/>
      <c r="M415" s="1161"/>
      <c r="N415" s="1161"/>
      <c r="O415" s="1036"/>
      <c r="P415" s="1036"/>
      <c r="Q415" s="314"/>
      <c r="R415" s="363">
        <f>E409</f>
        <v>1065048.98</v>
      </c>
      <c r="S415" s="924"/>
      <c r="T415" s="1354"/>
      <c r="U415" s="90"/>
    </row>
    <row r="416" spans="1:21" ht="19.5" customHeight="1" thickBot="1">
      <c r="A416" s="1128"/>
      <c r="B416" s="1128"/>
      <c r="C416" s="591"/>
      <c r="D416" s="591"/>
      <c r="E416" s="1146"/>
      <c r="F416" s="1147"/>
      <c r="G416" s="380"/>
      <c r="H416" s="26">
        <v>17253.07</v>
      </c>
      <c r="I416" s="27">
        <v>17253.07</v>
      </c>
      <c r="J416" s="27">
        <v>3044.67</v>
      </c>
      <c r="K416" s="48">
        <v>3044.67</v>
      </c>
      <c r="L416" s="1157"/>
      <c r="M416" s="1157"/>
      <c r="N416" s="1132"/>
      <c r="O416" s="925"/>
      <c r="P416" s="925"/>
      <c r="Q416" s="314"/>
      <c r="R416" s="363"/>
      <c r="S416" s="925"/>
      <c r="T416" s="587"/>
      <c r="U416" s="90"/>
    </row>
    <row r="417" spans="1:21" ht="19.5" customHeight="1" thickBot="1">
      <c r="A417" s="1133" t="s">
        <v>210</v>
      </c>
      <c r="B417" s="907" t="s">
        <v>209</v>
      </c>
      <c r="C417" s="261">
        <f>179318+179317</f>
        <v>358635</v>
      </c>
      <c r="D417" s="193">
        <f>31644*2</f>
        <v>63288</v>
      </c>
      <c r="E417" s="261">
        <v>358635</v>
      </c>
      <c r="F417" s="290">
        <v>63288</v>
      </c>
      <c r="G417" s="370">
        <v>421923</v>
      </c>
      <c r="H417" s="75">
        <v>146982.26</v>
      </c>
      <c r="I417" s="264">
        <v>146982.26</v>
      </c>
      <c r="J417" s="264">
        <v>25938.05</v>
      </c>
      <c r="K417" s="78">
        <v>25938.05</v>
      </c>
      <c r="L417" s="1416">
        <f>SUM(H417:K421)</f>
        <v>379006.9400000002</v>
      </c>
      <c r="M417" s="1217">
        <f>L417/E418*100</f>
        <v>89.82846159133305</v>
      </c>
      <c r="N417" s="1160">
        <f>305320+8418*2</f>
        <v>322156</v>
      </c>
      <c r="O417" s="1035">
        <f>N417/E417*100</f>
        <v>89.82837704072385</v>
      </c>
      <c r="P417" s="1035">
        <v>305320</v>
      </c>
      <c r="Q417" s="315"/>
      <c r="R417" s="363">
        <f>E417+F417</f>
        <v>421923</v>
      </c>
      <c r="S417" s="920">
        <f>P417/E417*100</f>
        <v>85.13391052183975</v>
      </c>
      <c r="T417" s="587"/>
      <c r="U417" s="90"/>
    </row>
    <row r="418" spans="1:21" s="93" customFormat="1" ht="16.5" customHeight="1">
      <c r="A418" s="1134"/>
      <c r="B418" s="908"/>
      <c r="C418" s="1135">
        <f>C417+D417</f>
        <v>421923</v>
      </c>
      <c r="D418" s="1136"/>
      <c r="E418" s="1135">
        <v>421923</v>
      </c>
      <c r="F418" s="1136"/>
      <c r="G418" s="1091">
        <v>421923</v>
      </c>
      <c r="H418" s="262">
        <v>3160.84</v>
      </c>
      <c r="I418" s="263">
        <v>3160.84</v>
      </c>
      <c r="J418" s="263">
        <v>557.8</v>
      </c>
      <c r="K418" s="321">
        <v>557.8</v>
      </c>
      <c r="L418" s="1417"/>
      <c r="M418" s="1218"/>
      <c r="N418" s="1161"/>
      <c r="O418" s="1036"/>
      <c r="P418" s="1036"/>
      <c r="Q418" s="315"/>
      <c r="R418" s="363"/>
      <c r="S418" s="921"/>
      <c r="T418" s="1251">
        <f>(E304-N304)/E304*100/9</f>
        <v>1.671885743602231</v>
      </c>
      <c r="U418" s="363"/>
    </row>
    <row r="419" spans="1:21" s="93" customFormat="1" ht="16.5" customHeight="1">
      <c r="A419" s="1134"/>
      <c r="B419" s="908"/>
      <c r="C419" s="1144"/>
      <c r="D419" s="1145"/>
      <c r="E419" s="1137"/>
      <c r="F419" s="1138"/>
      <c r="G419" s="1092"/>
      <c r="H419" s="262">
        <v>8290.52</v>
      </c>
      <c r="I419" s="263">
        <v>8290.52</v>
      </c>
      <c r="J419" s="263">
        <v>1463.03</v>
      </c>
      <c r="K419" s="321">
        <v>1463.03</v>
      </c>
      <c r="L419" s="1417"/>
      <c r="M419" s="1218"/>
      <c r="N419" s="1161"/>
      <c r="O419" s="1036"/>
      <c r="P419" s="1036"/>
      <c r="Q419" s="315"/>
      <c r="R419" s="363"/>
      <c r="S419" s="921"/>
      <c r="T419" s="1252"/>
      <c r="U419" s="363"/>
    </row>
    <row r="420" spans="1:21" s="93" customFormat="1" ht="16.5" customHeight="1" thickBot="1">
      <c r="A420" s="1134"/>
      <c r="B420" s="908"/>
      <c r="C420" s="1146"/>
      <c r="D420" s="1147"/>
      <c r="E420" s="1137"/>
      <c r="F420" s="1138"/>
      <c r="G420" s="1081"/>
      <c r="H420" s="287">
        <v>2516.68</v>
      </c>
      <c r="I420" s="288">
        <v>2516.68</v>
      </c>
      <c r="J420" s="288">
        <v>444.12</v>
      </c>
      <c r="K420" s="285">
        <v>444.12</v>
      </c>
      <c r="L420" s="1417"/>
      <c r="M420" s="1218"/>
      <c r="N420" s="1161"/>
      <c r="O420" s="1036"/>
      <c r="P420" s="1036"/>
      <c r="Q420" s="315"/>
      <c r="R420" s="363">
        <f>E418</f>
        <v>421923</v>
      </c>
      <c r="S420" s="921"/>
      <c r="T420" s="1252"/>
      <c r="U420" s="363"/>
    </row>
    <row r="421" spans="1:21" s="93" customFormat="1" ht="16.5" customHeight="1" thickBot="1">
      <c r="A421" s="1090"/>
      <c r="B421" s="919"/>
      <c r="C421" s="579"/>
      <c r="D421" s="580"/>
      <c r="E421" s="1139"/>
      <c r="F421" s="1140"/>
      <c r="G421" s="391"/>
      <c r="H421" s="282">
        <v>127.64</v>
      </c>
      <c r="I421" s="355">
        <v>127.64</v>
      </c>
      <c r="J421" s="283">
        <v>22.53</v>
      </c>
      <c r="K421" s="284">
        <v>22.53</v>
      </c>
      <c r="L421" s="1418"/>
      <c r="M421" s="1457"/>
      <c r="N421" s="1126"/>
      <c r="O421" s="1027"/>
      <c r="P421" s="1027"/>
      <c r="Q421" s="315"/>
      <c r="R421" s="363"/>
      <c r="S421" s="922"/>
      <c r="T421" s="1252"/>
      <c r="U421" s="363"/>
    </row>
    <row r="422" spans="1:21" s="93" customFormat="1" ht="16.5" customHeight="1">
      <c r="A422" s="1133" t="s">
        <v>9</v>
      </c>
      <c r="B422" s="1097" t="s">
        <v>10</v>
      </c>
      <c r="C422" s="310">
        <v>240276</v>
      </c>
      <c r="D422" s="289">
        <v>42402</v>
      </c>
      <c r="E422" s="12">
        <v>270225.11</v>
      </c>
      <c r="F422" s="13">
        <v>47686.81</v>
      </c>
      <c r="G422" s="194">
        <v>317911.92</v>
      </c>
      <c r="H422" s="12">
        <v>0</v>
      </c>
      <c r="I422" s="11">
        <v>89023.49166832636</v>
      </c>
      <c r="J422" s="11">
        <v>0</v>
      </c>
      <c r="K422" s="13">
        <v>15710.027882891853</v>
      </c>
      <c r="L422" s="789">
        <f>SUM(H422:K426)</f>
        <v>286859.2995512182</v>
      </c>
      <c r="M422" s="1035">
        <f>L422/E423*100</f>
        <v>90.23231955291838</v>
      </c>
      <c r="N422" s="1077">
        <f>147694.06+81825+14134</f>
        <v>243653.06</v>
      </c>
      <c r="O422" s="1251">
        <f>N422/E422*100</f>
        <v>90.1666984241398</v>
      </c>
      <c r="P422" s="1251">
        <f>119924.8/30.126+69164+37676+31870+81825+14134</f>
        <v>238649.77408218815</v>
      </c>
      <c r="Q422" s="1355">
        <f>P422/E422*100</f>
        <v>88.31517325765475</v>
      </c>
      <c r="R422" s="292">
        <f>E422+F422</f>
        <v>317911.92</v>
      </c>
      <c r="S422" s="920">
        <f>P422/E422*100</f>
        <v>88.31517325765475</v>
      </c>
      <c r="T422" s="1252"/>
      <c r="U422" s="363"/>
    </row>
    <row r="423" spans="1:21" s="93" customFormat="1" ht="16.5" customHeight="1">
      <c r="A423" s="1466"/>
      <c r="B423" s="1258"/>
      <c r="C423" s="990">
        <f>SUM(C422:D422)</f>
        <v>282678</v>
      </c>
      <c r="D423" s="991"/>
      <c r="E423" s="990">
        <v>317911.92</v>
      </c>
      <c r="F423" s="1452"/>
      <c r="G423" s="1392">
        <v>317911.92</v>
      </c>
      <c r="H423" s="34">
        <v>0</v>
      </c>
      <c r="I423" s="33">
        <v>87465.98</v>
      </c>
      <c r="J423" s="33">
        <v>0</v>
      </c>
      <c r="K423" s="35">
        <v>15435.17</v>
      </c>
      <c r="L423" s="1258"/>
      <c r="M423" s="1258"/>
      <c r="N423" s="1079"/>
      <c r="O423" s="1252"/>
      <c r="P423" s="1258"/>
      <c r="Q423" s="1346"/>
      <c r="R423" s="292"/>
      <c r="S423" s="921"/>
      <c r="T423" s="1252"/>
      <c r="U423" s="363"/>
    </row>
    <row r="424" spans="1:21" s="93" customFormat="1" ht="16.5" customHeight="1" thickBot="1">
      <c r="A424" s="1466"/>
      <c r="B424" s="1258"/>
      <c r="C424" s="992"/>
      <c r="D424" s="993"/>
      <c r="E424" s="1453"/>
      <c r="F424" s="1454"/>
      <c r="G424" s="1393"/>
      <c r="H424" s="34">
        <v>0</v>
      </c>
      <c r="I424" s="33">
        <v>47600</v>
      </c>
      <c r="J424" s="33">
        <v>0</v>
      </c>
      <c r="K424" s="35">
        <v>8400</v>
      </c>
      <c r="L424" s="1258"/>
      <c r="M424" s="1258"/>
      <c r="N424" s="1079"/>
      <c r="O424" s="1252"/>
      <c r="P424" s="1258"/>
      <c r="Q424" s="1347"/>
      <c r="R424" s="292"/>
      <c r="S424" s="921"/>
      <c r="T424" s="1253"/>
      <c r="U424" s="363"/>
    </row>
    <row r="425" spans="1:21" ht="18.75" customHeight="1" thickBot="1">
      <c r="A425" s="1466"/>
      <c r="B425" s="1258"/>
      <c r="C425" s="982"/>
      <c r="D425" s="983"/>
      <c r="E425" s="1453"/>
      <c r="F425" s="1454"/>
      <c r="G425" s="1394"/>
      <c r="H425" s="34">
        <v>0</v>
      </c>
      <c r="I425" s="33">
        <v>18700</v>
      </c>
      <c r="J425" s="33">
        <v>0</v>
      </c>
      <c r="K425" s="35">
        <v>3300</v>
      </c>
      <c r="L425" s="1258"/>
      <c r="M425" s="1258"/>
      <c r="N425" s="1079"/>
      <c r="O425" s="1252"/>
      <c r="P425" s="1258"/>
      <c r="Q425" s="314"/>
      <c r="R425" s="292">
        <f>E423</f>
        <v>317911.92</v>
      </c>
      <c r="S425" s="921"/>
      <c r="T425" s="1352">
        <f>(E341-N341)/E341*100/9</f>
        <v>1.2873522235842059</v>
      </c>
      <c r="U425" s="90"/>
    </row>
    <row r="426" spans="1:21" ht="18.75" customHeight="1" thickBot="1">
      <c r="A426" s="1099"/>
      <c r="B426" s="1099"/>
      <c r="C426" s="354"/>
      <c r="D426" s="354"/>
      <c r="E426" s="1088"/>
      <c r="F426" s="1089"/>
      <c r="G426" s="115"/>
      <c r="H426" s="325">
        <v>0</v>
      </c>
      <c r="I426" s="326">
        <v>1040.94</v>
      </c>
      <c r="J426" s="326">
        <v>0</v>
      </c>
      <c r="K426" s="402">
        <v>183.69</v>
      </c>
      <c r="L426" s="1099"/>
      <c r="M426" s="1099"/>
      <c r="N426" s="1080"/>
      <c r="O426" s="1343"/>
      <c r="P426" s="1259"/>
      <c r="Q426" s="314"/>
      <c r="R426" s="292"/>
      <c r="S426" s="1343"/>
      <c r="T426" s="1353"/>
      <c r="U426" s="90"/>
    </row>
    <row r="427" spans="1:21" ht="18.75" customHeight="1">
      <c r="A427" s="1133" t="s">
        <v>43</v>
      </c>
      <c r="B427" s="1133" t="s">
        <v>44</v>
      </c>
      <c r="C427" s="19">
        <v>447396</v>
      </c>
      <c r="D427" s="19">
        <v>78952</v>
      </c>
      <c r="E427" s="25">
        <v>495289.7</v>
      </c>
      <c r="F427" s="20">
        <v>87404.06</v>
      </c>
      <c r="G427" s="348">
        <v>582693.7580827192</v>
      </c>
      <c r="H427" s="25">
        <v>33305.62</v>
      </c>
      <c r="I427" s="19">
        <v>33305.62</v>
      </c>
      <c r="J427" s="19">
        <v>5877.46</v>
      </c>
      <c r="K427" s="39">
        <v>5877.46</v>
      </c>
      <c r="L427" s="789">
        <f>SUM(H427:K435)</f>
        <v>579285.66</v>
      </c>
      <c r="M427" s="1035">
        <f>L427/E428*100</f>
        <v>99.41511300893286</v>
      </c>
      <c r="N427" s="1077">
        <v>448391.13</v>
      </c>
      <c r="O427" s="1251">
        <f>N427/E427*100</f>
        <v>90.53108312165588</v>
      </c>
      <c r="P427" s="1251">
        <f>421079+13158+13159</f>
        <v>447396</v>
      </c>
      <c r="Q427" s="1344">
        <f>P427/E427*100</f>
        <v>90.3301643462402</v>
      </c>
      <c r="R427" s="363">
        <f>E427+F427</f>
        <v>582693.76</v>
      </c>
      <c r="S427" s="1345">
        <f>P427/E427*100</f>
        <v>90.3301643462402</v>
      </c>
      <c r="T427" s="1353"/>
      <c r="U427" s="90"/>
    </row>
    <row r="428" spans="1:21" ht="18.75" customHeight="1">
      <c r="A428" s="1134"/>
      <c r="B428" s="1134"/>
      <c r="C428" s="1129">
        <f>SUM(C427:D427)</f>
        <v>526348</v>
      </c>
      <c r="D428" s="1130"/>
      <c r="E428" s="1129">
        <f>E427+F427</f>
        <v>582693.76</v>
      </c>
      <c r="F428" s="1130"/>
      <c r="G428" s="1016">
        <v>582693.7580827192</v>
      </c>
      <c r="H428" s="34">
        <v>30665.09</v>
      </c>
      <c r="I428" s="33">
        <v>30665.09</v>
      </c>
      <c r="J428" s="33">
        <v>5411.49</v>
      </c>
      <c r="K428" s="43">
        <v>5411.49</v>
      </c>
      <c r="L428" s="790"/>
      <c r="M428" s="1036"/>
      <c r="N428" s="1075"/>
      <c r="O428" s="1252"/>
      <c r="P428" s="1252"/>
      <c r="Q428" s="1306"/>
      <c r="R428" s="363"/>
      <c r="S428" s="1346"/>
      <c r="T428" s="1353"/>
      <c r="U428" s="90"/>
    </row>
    <row r="429" spans="1:21" ht="18.75" customHeight="1">
      <c r="A429" s="1134"/>
      <c r="B429" s="1134"/>
      <c r="C429" s="1131"/>
      <c r="D429" s="1118"/>
      <c r="E429" s="1131"/>
      <c r="F429" s="1118"/>
      <c r="G429" s="1017"/>
      <c r="H429" s="30">
        <v>15880.94</v>
      </c>
      <c r="I429" s="31">
        <v>15880.94</v>
      </c>
      <c r="J429" s="31">
        <v>2802.52</v>
      </c>
      <c r="K429" s="41">
        <v>2802.52</v>
      </c>
      <c r="L429" s="790"/>
      <c r="M429" s="1036"/>
      <c r="N429" s="1075"/>
      <c r="O429" s="1252"/>
      <c r="P429" s="1252"/>
      <c r="Q429" s="1306"/>
      <c r="R429" s="363"/>
      <c r="S429" s="1346"/>
      <c r="T429" s="1353"/>
      <c r="U429" s="90"/>
    </row>
    <row r="430" spans="1:21" ht="18.75" customHeight="1">
      <c r="A430" s="1134"/>
      <c r="B430" s="1134"/>
      <c r="C430" s="1131"/>
      <c r="D430" s="1118"/>
      <c r="E430" s="1131"/>
      <c r="F430" s="1118"/>
      <c r="G430" s="1017"/>
      <c r="H430" s="49">
        <v>77952.3</v>
      </c>
      <c r="I430" s="22">
        <v>77952.3</v>
      </c>
      <c r="J430" s="22">
        <v>13756.29</v>
      </c>
      <c r="K430" s="50">
        <v>13756.29</v>
      </c>
      <c r="L430" s="790"/>
      <c r="M430" s="1036"/>
      <c r="N430" s="1075"/>
      <c r="O430" s="1252"/>
      <c r="P430" s="1252"/>
      <c r="Q430" s="1306"/>
      <c r="R430" s="363"/>
      <c r="S430" s="1346"/>
      <c r="T430" s="1353"/>
      <c r="U430" s="90"/>
    </row>
    <row r="431" spans="1:21" ht="18.75" customHeight="1">
      <c r="A431" s="1134"/>
      <c r="B431" s="1134"/>
      <c r="C431" s="1131"/>
      <c r="D431" s="1118"/>
      <c r="E431" s="1131"/>
      <c r="F431" s="1118"/>
      <c r="G431" s="1017"/>
      <c r="H431" s="34">
        <v>28755.98</v>
      </c>
      <c r="I431" s="33">
        <v>28755.98</v>
      </c>
      <c r="J431" s="33">
        <v>5074.58</v>
      </c>
      <c r="K431" s="43">
        <v>5074.58</v>
      </c>
      <c r="L431" s="790"/>
      <c r="M431" s="1036"/>
      <c r="N431" s="1075"/>
      <c r="O431" s="1252"/>
      <c r="P431" s="1252"/>
      <c r="Q431" s="1306"/>
      <c r="R431" s="363"/>
      <c r="S431" s="1346"/>
      <c r="T431" s="1353"/>
      <c r="U431" s="90"/>
    </row>
    <row r="432" spans="1:21" ht="17.25" customHeight="1">
      <c r="A432" s="1134"/>
      <c r="B432" s="1134"/>
      <c r="C432" s="1131"/>
      <c r="D432" s="1118"/>
      <c r="E432" s="1131"/>
      <c r="F432" s="1118"/>
      <c r="G432" s="1017"/>
      <c r="H432" s="34">
        <v>43350.14</v>
      </c>
      <c r="I432" s="33">
        <v>43350.14</v>
      </c>
      <c r="J432" s="33">
        <v>7650.02</v>
      </c>
      <c r="K432" s="43">
        <v>7650.02</v>
      </c>
      <c r="L432" s="790"/>
      <c r="M432" s="1036"/>
      <c r="N432" s="1075"/>
      <c r="O432" s="1252"/>
      <c r="P432" s="1252"/>
      <c r="Q432" s="1306"/>
      <c r="R432" s="363"/>
      <c r="S432" s="1346"/>
      <c r="T432" s="1353"/>
      <c r="U432" s="90"/>
    </row>
    <row r="433" spans="1:21" ht="17.25" customHeight="1">
      <c r="A433" s="1134"/>
      <c r="B433" s="1134"/>
      <c r="C433" s="1131"/>
      <c r="D433" s="1118"/>
      <c r="E433" s="1131"/>
      <c r="F433" s="1118"/>
      <c r="G433" s="1017"/>
      <c r="H433" s="34">
        <v>0</v>
      </c>
      <c r="I433" s="33">
        <v>0</v>
      </c>
      <c r="J433" s="33">
        <v>5153.26</v>
      </c>
      <c r="K433" s="43">
        <v>5153.26</v>
      </c>
      <c r="L433" s="790"/>
      <c r="M433" s="1036"/>
      <c r="N433" s="1075"/>
      <c r="O433" s="1252"/>
      <c r="P433" s="1252"/>
      <c r="Q433" s="1306"/>
      <c r="R433" s="363"/>
      <c r="S433" s="1346"/>
      <c r="T433" s="1353"/>
      <c r="U433" s="90"/>
    </row>
    <row r="434" spans="1:21" ht="17.25" customHeight="1">
      <c r="A434" s="1134"/>
      <c r="B434" s="1134"/>
      <c r="C434" s="1144"/>
      <c r="D434" s="1145"/>
      <c r="E434" s="1131"/>
      <c r="F434" s="1118"/>
      <c r="G434" s="1017"/>
      <c r="H434" s="34">
        <v>972.27</v>
      </c>
      <c r="I434" s="33">
        <v>972.27</v>
      </c>
      <c r="J434" s="33">
        <v>171.58</v>
      </c>
      <c r="K434" s="43">
        <v>171.57</v>
      </c>
      <c r="L434" s="790"/>
      <c r="M434" s="1036"/>
      <c r="N434" s="1075"/>
      <c r="O434" s="1252"/>
      <c r="P434" s="1252"/>
      <c r="Q434" s="1305"/>
      <c r="R434" s="363"/>
      <c r="S434" s="1346"/>
      <c r="T434" s="1353"/>
      <c r="U434" s="90"/>
    </row>
    <row r="435" spans="1:21" ht="17.25" customHeight="1" thickBot="1">
      <c r="A435" s="1090"/>
      <c r="B435" s="1090"/>
      <c r="C435" s="1146"/>
      <c r="D435" s="1147"/>
      <c r="E435" s="1102"/>
      <c r="F435" s="1103"/>
      <c r="G435" s="1018"/>
      <c r="H435" s="14">
        <v>10933.8</v>
      </c>
      <c r="I435" s="15">
        <v>10933.8</v>
      </c>
      <c r="J435" s="15">
        <v>1929.5</v>
      </c>
      <c r="K435" s="47">
        <v>1929.49</v>
      </c>
      <c r="L435" s="766"/>
      <c r="M435" s="1027"/>
      <c r="N435" s="1076"/>
      <c r="O435" s="1253"/>
      <c r="P435" s="1253"/>
      <c r="Q435" s="315"/>
      <c r="R435" s="363">
        <f>E428</f>
        <v>582693.76</v>
      </c>
      <c r="S435" s="1347"/>
      <c r="T435" s="1353"/>
      <c r="U435" s="90"/>
    </row>
    <row r="436" spans="1:21" ht="17.25" customHeight="1">
      <c r="A436" s="935" t="s">
        <v>27</v>
      </c>
      <c r="B436" s="1463" t="s">
        <v>28</v>
      </c>
      <c r="C436" s="75">
        <v>321028</v>
      </c>
      <c r="D436" s="78">
        <v>56652</v>
      </c>
      <c r="E436" s="61">
        <v>355394.2</v>
      </c>
      <c r="F436" s="80">
        <v>62716.62</v>
      </c>
      <c r="G436" s="348">
        <v>418110.8188674235</v>
      </c>
      <c r="H436" s="25">
        <v>14504.3</v>
      </c>
      <c r="I436" s="19">
        <v>14504.3</v>
      </c>
      <c r="J436" s="19">
        <v>2559.58</v>
      </c>
      <c r="K436" s="17">
        <v>2559.58</v>
      </c>
      <c r="L436" s="789">
        <f>SUM(H436:K444)</f>
        <v>402797.5599999999</v>
      </c>
      <c r="M436" s="1035">
        <f>L436/E437*100</f>
        <v>96.33751166736127</v>
      </c>
      <c r="N436" s="1077">
        <f>303357.15+9442*2</f>
        <v>322241.15</v>
      </c>
      <c r="O436" s="1251">
        <f>N436/E436*100</f>
        <v>90.67147128456233</v>
      </c>
      <c r="P436" s="1251">
        <f>175288+31505+31505+31923*2+7568+7567</f>
        <v>317279</v>
      </c>
      <c r="Q436" s="1304">
        <f>P436/E436*100</f>
        <v>89.27523296666068</v>
      </c>
      <c r="R436" s="363">
        <f>E436+F436</f>
        <v>418110.82</v>
      </c>
      <c r="S436" s="920">
        <f>P436/E436*100</f>
        <v>89.27523296666068</v>
      </c>
      <c r="T436" s="1353"/>
      <c r="U436" s="90"/>
    </row>
    <row r="437" spans="1:21" ht="17.25" customHeight="1" thickBot="1">
      <c r="A437" s="936"/>
      <c r="B437" s="1464"/>
      <c r="C437" s="1150">
        <f>SUM(C436:D436)</f>
        <v>377680</v>
      </c>
      <c r="D437" s="1151"/>
      <c r="E437" s="1148">
        <v>418110.82</v>
      </c>
      <c r="F437" s="1149"/>
      <c r="G437" s="1104">
        <v>418110.8188674235</v>
      </c>
      <c r="H437" s="34">
        <v>15474.97</v>
      </c>
      <c r="I437" s="33">
        <v>15474.97</v>
      </c>
      <c r="J437" s="33">
        <v>2730.88</v>
      </c>
      <c r="K437" s="36">
        <v>2730.88</v>
      </c>
      <c r="L437" s="790"/>
      <c r="M437" s="1036"/>
      <c r="N437" s="1075"/>
      <c r="O437" s="1252"/>
      <c r="P437" s="1252"/>
      <c r="Q437" s="1306"/>
      <c r="R437" s="363"/>
      <c r="S437" s="921"/>
      <c r="T437" s="1354"/>
      <c r="U437" s="90"/>
    </row>
    <row r="438" spans="1:21" ht="17.25" customHeight="1">
      <c r="A438" s="936"/>
      <c r="B438" s="1464"/>
      <c r="C438" s="1150"/>
      <c r="D438" s="1151"/>
      <c r="E438" s="1150"/>
      <c r="F438" s="1151"/>
      <c r="G438" s="1082"/>
      <c r="H438" s="34">
        <v>24480.37</v>
      </c>
      <c r="I438" s="33">
        <v>24480.37</v>
      </c>
      <c r="J438" s="33">
        <v>4320.07</v>
      </c>
      <c r="K438" s="35">
        <v>4320.07</v>
      </c>
      <c r="L438" s="790"/>
      <c r="M438" s="1036"/>
      <c r="N438" s="1075"/>
      <c r="O438" s="1252"/>
      <c r="P438" s="1252"/>
      <c r="Q438" s="1306"/>
      <c r="R438" s="363"/>
      <c r="S438" s="921"/>
      <c r="T438" s="587"/>
      <c r="U438" s="90"/>
    </row>
    <row r="439" spans="1:21" ht="17.25" customHeight="1">
      <c r="A439" s="936"/>
      <c r="B439" s="1464"/>
      <c r="C439" s="1150"/>
      <c r="D439" s="1151"/>
      <c r="E439" s="1150"/>
      <c r="F439" s="1151"/>
      <c r="G439" s="1082"/>
      <c r="H439" s="12">
        <v>24712.72</v>
      </c>
      <c r="I439" s="11">
        <v>24712.72</v>
      </c>
      <c r="J439" s="11">
        <v>4361.07</v>
      </c>
      <c r="K439" s="13">
        <v>4361.07</v>
      </c>
      <c r="L439" s="790"/>
      <c r="M439" s="1036"/>
      <c r="N439" s="1075"/>
      <c r="O439" s="1252"/>
      <c r="P439" s="1252"/>
      <c r="Q439" s="1306"/>
      <c r="R439" s="363"/>
      <c r="S439" s="921"/>
      <c r="T439" s="587"/>
      <c r="U439" s="90"/>
    </row>
    <row r="440" spans="1:21" s="93" customFormat="1" ht="12.75">
      <c r="A440" s="936"/>
      <c r="B440" s="1464"/>
      <c r="C440" s="1150"/>
      <c r="D440" s="1151"/>
      <c r="E440" s="1150"/>
      <c r="F440" s="1151"/>
      <c r="G440" s="1082"/>
      <c r="H440" s="34">
        <v>9078.22</v>
      </c>
      <c r="I440" s="33">
        <v>9078.22</v>
      </c>
      <c r="J440" s="33">
        <v>1602.04</v>
      </c>
      <c r="K440" s="35">
        <v>1602.04</v>
      </c>
      <c r="L440" s="790"/>
      <c r="M440" s="1036"/>
      <c r="N440" s="1075"/>
      <c r="O440" s="1252"/>
      <c r="P440" s="1252"/>
      <c r="Q440" s="1306"/>
      <c r="R440" s="363"/>
      <c r="S440" s="921"/>
      <c r="T440" s="588"/>
      <c r="U440" s="363"/>
    </row>
    <row r="441" spans="1:21" s="93" customFormat="1" ht="12.75">
      <c r="A441" s="936"/>
      <c r="B441" s="1464"/>
      <c r="C441" s="1150"/>
      <c r="D441" s="1151"/>
      <c r="E441" s="1150"/>
      <c r="F441" s="1151"/>
      <c r="G441" s="1082"/>
      <c r="H441" s="34">
        <v>31504.92</v>
      </c>
      <c r="I441" s="33">
        <v>31504.92</v>
      </c>
      <c r="J441" s="33">
        <v>5559.69</v>
      </c>
      <c r="K441" s="35">
        <v>5559.69</v>
      </c>
      <c r="L441" s="790"/>
      <c r="M441" s="1036"/>
      <c r="N441" s="1075"/>
      <c r="O441" s="1252"/>
      <c r="P441" s="1252"/>
      <c r="Q441" s="1306"/>
      <c r="R441" s="363"/>
      <c r="S441" s="921"/>
      <c r="T441" s="588"/>
      <c r="U441" s="363"/>
    </row>
    <row r="442" spans="1:21" s="93" customFormat="1" ht="13.5" thickBot="1">
      <c r="A442" s="936"/>
      <c r="B442" s="1464"/>
      <c r="C442" s="1150"/>
      <c r="D442" s="1151"/>
      <c r="E442" s="1150"/>
      <c r="F442" s="1151"/>
      <c r="G442" s="1082"/>
      <c r="H442" s="34">
        <v>11155.68</v>
      </c>
      <c r="I442" s="33">
        <v>11155.68</v>
      </c>
      <c r="J442" s="33">
        <v>1968.66</v>
      </c>
      <c r="K442" s="35">
        <v>1968.65</v>
      </c>
      <c r="L442" s="790"/>
      <c r="M442" s="1036"/>
      <c r="N442" s="1075"/>
      <c r="O442" s="1252"/>
      <c r="P442" s="1252"/>
      <c r="Q442" s="1307"/>
      <c r="R442" s="363"/>
      <c r="S442" s="921"/>
      <c r="T442" s="588"/>
      <c r="U442" s="363"/>
    </row>
    <row r="443" spans="1:21" s="93" customFormat="1" ht="13.5" thickBot="1">
      <c r="A443" s="936"/>
      <c r="B443" s="1464"/>
      <c r="C443" s="1152"/>
      <c r="D443" s="1153"/>
      <c r="E443" s="1150"/>
      <c r="F443" s="1151"/>
      <c r="G443" s="1105"/>
      <c r="H443" s="34">
        <v>37901.05</v>
      </c>
      <c r="I443" s="33">
        <v>37901.05</v>
      </c>
      <c r="J443" s="33">
        <v>6688.41</v>
      </c>
      <c r="K443" s="35">
        <v>6688.42</v>
      </c>
      <c r="L443" s="790"/>
      <c r="M443" s="1036"/>
      <c r="N443" s="1075"/>
      <c r="O443" s="1252"/>
      <c r="P443" s="1252"/>
      <c r="Q443" s="315"/>
      <c r="R443" s="363">
        <f>E437</f>
        <v>418110.82</v>
      </c>
      <c r="S443" s="921"/>
      <c r="T443" s="588"/>
      <c r="U443" s="363"/>
    </row>
    <row r="444" spans="1:21" s="93" customFormat="1" ht="13.5" thickBot="1">
      <c r="A444" s="1467"/>
      <c r="B444" s="1465"/>
      <c r="C444" s="274"/>
      <c r="D444" s="274"/>
      <c r="E444" s="1152"/>
      <c r="F444" s="1153"/>
      <c r="G444" s="382"/>
      <c r="H444" s="30">
        <v>2376.73</v>
      </c>
      <c r="I444" s="31">
        <v>2376.73</v>
      </c>
      <c r="J444" s="31">
        <v>419.42</v>
      </c>
      <c r="K444" s="29">
        <v>419.42</v>
      </c>
      <c r="L444" s="766"/>
      <c r="M444" s="1027"/>
      <c r="N444" s="1076"/>
      <c r="O444" s="1253"/>
      <c r="P444" s="1253"/>
      <c r="Q444" s="315"/>
      <c r="R444" s="363"/>
      <c r="S444" s="922"/>
      <c r="T444" s="588"/>
      <c r="U444" s="363"/>
    </row>
    <row r="445" spans="1:21" ht="17.25" customHeight="1" thickBot="1">
      <c r="A445" s="1133" t="s">
        <v>65</v>
      </c>
      <c r="B445" s="1133" t="s">
        <v>66</v>
      </c>
      <c r="C445" s="25">
        <v>531275</v>
      </c>
      <c r="D445" s="20">
        <v>93754</v>
      </c>
      <c r="E445" s="79">
        <v>588147.82</v>
      </c>
      <c r="F445" s="80">
        <v>103790.8</v>
      </c>
      <c r="G445" s="348">
        <v>691938.62</v>
      </c>
      <c r="H445" s="322">
        <v>185771.10303392418</v>
      </c>
      <c r="I445" s="323">
        <v>185771.10303392418</v>
      </c>
      <c r="J445" s="323">
        <v>32783.13582951603</v>
      </c>
      <c r="K445" s="324">
        <v>32783.13582951603</v>
      </c>
      <c r="L445" s="1158">
        <f>SUM(H445:K448)</f>
        <v>691938.5977268803</v>
      </c>
      <c r="M445" s="1160">
        <f>L445/E446*100</f>
        <v>99.99999678105557</v>
      </c>
      <c r="N445" s="1077">
        <f>533819.21+3</f>
        <v>533822.21</v>
      </c>
      <c r="O445" s="1251">
        <f>N445/E445*100</f>
        <v>90.76327274323656</v>
      </c>
      <c r="P445" s="1251">
        <f>368995+65515+65514+15625+15626</f>
        <v>531275</v>
      </c>
      <c r="Q445" s="1304">
        <f>P445/E445*100</f>
        <v>90.33018264013968</v>
      </c>
      <c r="R445" s="363">
        <f>E445+F445</f>
        <v>691938.62</v>
      </c>
      <c r="S445" s="1345">
        <f>P445/E445*100</f>
        <v>90.33018264013968</v>
      </c>
      <c r="T445" s="587"/>
      <c r="U445" s="90"/>
    </row>
    <row r="446" spans="1:20" ht="21" customHeight="1" thickBot="1">
      <c r="A446" s="1134"/>
      <c r="B446" s="1134"/>
      <c r="C446" s="1111">
        <f>SUM(C445:D445)</f>
        <v>625029</v>
      </c>
      <c r="D446" s="1112"/>
      <c r="E446" s="1129">
        <v>691938.62</v>
      </c>
      <c r="F446" s="1130"/>
      <c r="G446" s="1016">
        <v>691938.62</v>
      </c>
      <c r="H446" s="325">
        <v>93599.09</v>
      </c>
      <c r="I446" s="326">
        <v>93599.09</v>
      </c>
      <c r="J446" s="326">
        <v>16517.49</v>
      </c>
      <c r="K446" s="327">
        <v>16517.49</v>
      </c>
      <c r="L446" s="1159"/>
      <c r="M446" s="1161"/>
      <c r="N446" s="1075"/>
      <c r="O446" s="1252"/>
      <c r="P446" s="1252"/>
      <c r="Q446" s="1307"/>
      <c r="R446" s="363"/>
      <c r="S446" s="1346"/>
      <c r="T446" s="1352">
        <f>(E375-N375)/E375*100/9</f>
        <v>1.2369942283907311</v>
      </c>
    </row>
    <row r="447" spans="1:20" ht="21" customHeight="1">
      <c r="A447" s="1134"/>
      <c r="B447" s="1134"/>
      <c r="C447" s="1093"/>
      <c r="D447" s="1094"/>
      <c r="E447" s="1131"/>
      <c r="F447" s="1118"/>
      <c r="G447" s="1017"/>
      <c r="H447" s="331">
        <v>0</v>
      </c>
      <c r="I447" s="332">
        <v>0</v>
      </c>
      <c r="J447" s="332">
        <v>0</v>
      </c>
      <c r="K447" s="333">
        <v>0</v>
      </c>
      <c r="L447" s="1159"/>
      <c r="M447" s="1161"/>
      <c r="N447" s="1075"/>
      <c r="O447" s="1252"/>
      <c r="P447" s="1252"/>
      <c r="Q447" s="315"/>
      <c r="R447" s="363"/>
      <c r="S447" s="1346"/>
      <c r="T447" s="1353"/>
    </row>
    <row r="448" spans="1:20" ht="21" customHeight="1" thickBot="1">
      <c r="A448" s="1090"/>
      <c r="B448" s="1090"/>
      <c r="C448" s="1095"/>
      <c r="D448" s="1096"/>
      <c r="E448" s="1102"/>
      <c r="F448" s="1103"/>
      <c r="G448" s="1018"/>
      <c r="H448" s="325">
        <v>14703.71</v>
      </c>
      <c r="I448" s="326">
        <v>14703.71</v>
      </c>
      <c r="J448" s="326">
        <v>2594.77</v>
      </c>
      <c r="K448" s="345">
        <v>2594.77</v>
      </c>
      <c r="L448" s="1113"/>
      <c r="M448" s="1126"/>
      <c r="N448" s="1076"/>
      <c r="O448" s="1253"/>
      <c r="P448" s="1253"/>
      <c r="Q448" s="315"/>
      <c r="R448" s="363">
        <f>E446</f>
        <v>691938.62</v>
      </c>
      <c r="S448" s="1347"/>
      <c r="T448" s="1353"/>
    </row>
    <row r="449" spans="1:20" ht="21" customHeight="1">
      <c r="A449" s="1133" t="s">
        <v>232</v>
      </c>
      <c r="B449" s="1133" t="s">
        <v>231</v>
      </c>
      <c r="C449" s="265">
        <f>411817*2</f>
        <v>823634</v>
      </c>
      <c r="D449" s="267">
        <f>45757.5*2</f>
        <v>91515</v>
      </c>
      <c r="E449" s="312">
        <v>823634</v>
      </c>
      <c r="F449" s="267">
        <v>91515</v>
      </c>
      <c r="G449" s="423">
        <v>915149</v>
      </c>
      <c r="H449" s="265">
        <v>31681.02</v>
      </c>
      <c r="I449" s="266">
        <v>31681.02</v>
      </c>
      <c r="J449" s="266">
        <v>3520.11</v>
      </c>
      <c r="K449" s="267">
        <v>3520.11</v>
      </c>
      <c r="L449" s="789">
        <f>SUM(H449:K464)</f>
        <v>867530.2200000001</v>
      </c>
      <c r="M449" s="923">
        <f>L449/E450*100</f>
        <v>94.7966090767733</v>
      </c>
      <c r="N449" s="1160">
        <f>23890+206559+259721+128907+128906</f>
        <v>747983</v>
      </c>
      <c r="O449" s="1035">
        <f>N449/E449*100</f>
        <v>90.81497364120472</v>
      </c>
      <c r="P449" s="1035">
        <f>11945+11945+103280+103279+129860+129861+128907+128906</f>
        <v>747983</v>
      </c>
      <c r="Q449" s="679"/>
      <c r="R449" s="611">
        <f>E449+F449</f>
        <v>915149</v>
      </c>
      <c r="S449" s="923">
        <f>P449/E449*100</f>
        <v>90.81497364120472</v>
      </c>
      <c r="T449" s="1353"/>
    </row>
    <row r="450" spans="1:20" ht="21" customHeight="1" thickBot="1">
      <c r="A450" s="1134"/>
      <c r="B450" s="1134"/>
      <c r="C450" s="1119">
        <f>C449+D449</f>
        <v>915149</v>
      </c>
      <c r="D450" s="1120"/>
      <c r="E450" s="1119">
        <v>915149</v>
      </c>
      <c r="F450" s="1120"/>
      <c r="G450" s="1265">
        <v>915149</v>
      </c>
      <c r="H450" s="287">
        <v>41378.06</v>
      </c>
      <c r="I450" s="288">
        <v>41378.06</v>
      </c>
      <c r="J450" s="288">
        <v>4597.57</v>
      </c>
      <c r="K450" s="285">
        <v>4597.56</v>
      </c>
      <c r="L450" s="790"/>
      <c r="M450" s="924"/>
      <c r="N450" s="1161"/>
      <c r="O450" s="1036"/>
      <c r="P450" s="1036"/>
      <c r="Q450" s="537"/>
      <c r="R450" s="680"/>
      <c r="S450" s="924"/>
      <c r="T450" s="1354"/>
    </row>
    <row r="451" spans="1:21" ht="16.5" customHeight="1" thickBot="1">
      <c r="A451" s="1134"/>
      <c r="B451" s="1134"/>
      <c r="C451" s="1267"/>
      <c r="D451" s="1268"/>
      <c r="E451" s="1121"/>
      <c r="F451" s="1122"/>
      <c r="G451" s="1266"/>
      <c r="H451" s="287">
        <v>10660.77</v>
      </c>
      <c r="I451" s="288">
        <v>10660.77</v>
      </c>
      <c r="J451" s="288">
        <v>1184.54</v>
      </c>
      <c r="K451" s="285">
        <v>1184.53</v>
      </c>
      <c r="L451" s="790"/>
      <c r="M451" s="924"/>
      <c r="N451" s="1161"/>
      <c r="O451" s="1036"/>
      <c r="P451" s="1036"/>
      <c r="Q451" s="537"/>
      <c r="R451" s="680">
        <f>E450</f>
        <v>915149</v>
      </c>
      <c r="S451" s="924"/>
      <c r="T451" s="1352">
        <f>(E380-N380)/E380*100/9</f>
        <v>1.2091787400484009</v>
      </c>
      <c r="U451" s="90"/>
    </row>
    <row r="452" spans="1:21" ht="16.5" customHeight="1" thickBot="1">
      <c r="A452" s="1134"/>
      <c r="B452" s="1134"/>
      <c r="C452" s="677"/>
      <c r="D452" s="678"/>
      <c r="E452" s="1121"/>
      <c r="F452" s="1122"/>
      <c r="G452" s="681"/>
      <c r="H452" s="287">
        <f>IP_čerapanie!H459</f>
        <v>48269.98</v>
      </c>
      <c r="I452" s="288">
        <f>IP_čerapanie!I459</f>
        <v>48269.98</v>
      </c>
      <c r="J452" s="288">
        <f>IP_čerapanie!J459</f>
        <v>5363.34</v>
      </c>
      <c r="K452" s="285">
        <f>IP_čerapanie!K459</f>
        <v>5363.33</v>
      </c>
      <c r="L452" s="790"/>
      <c r="M452" s="924"/>
      <c r="N452" s="1161"/>
      <c r="O452" s="1036"/>
      <c r="P452" s="1036"/>
      <c r="Q452" s="614"/>
      <c r="R452" s="612"/>
      <c r="S452" s="924"/>
      <c r="T452" s="1353"/>
      <c r="U452" s="90"/>
    </row>
    <row r="453" spans="1:21" ht="16.5" customHeight="1" thickBot="1">
      <c r="A453" s="1134"/>
      <c r="B453" s="1134"/>
      <c r="C453" s="677"/>
      <c r="D453" s="678"/>
      <c r="E453" s="1121"/>
      <c r="F453" s="1122"/>
      <c r="G453" s="681"/>
      <c r="H453" s="287">
        <v>74627.17</v>
      </c>
      <c r="I453" s="288">
        <v>74627.17</v>
      </c>
      <c r="J453" s="288">
        <v>8291.91</v>
      </c>
      <c r="K453" s="285">
        <v>8291.91</v>
      </c>
      <c r="L453" s="790"/>
      <c r="M453" s="924"/>
      <c r="N453" s="1161"/>
      <c r="O453" s="1036"/>
      <c r="P453" s="1036"/>
      <c r="Q453" s="614"/>
      <c r="R453" s="612"/>
      <c r="S453" s="924"/>
      <c r="T453" s="1353"/>
      <c r="U453" s="90"/>
    </row>
    <row r="454" spans="1:21" ht="18.75" customHeight="1" thickBot="1">
      <c r="A454" s="1134"/>
      <c r="B454" s="1134"/>
      <c r="C454" s="677"/>
      <c r="D454" s="678"/>
      <c r="E454" s="1121"/>
      <c r="F454" s="1122"/>
      <c r="G454" s="681"/>
      <c r="H454" s="287">
        <v>11945.55</v>
      </c>
      <c r="I454" s="288">
        <v>11945.55</v>
      </c>
      <c r="J454" s="288">
        <v>1327.28</v>
      </c>
      <c r="K454" s="285">
        <v>1327.28</v>
      </c>
      <c r="L454" s="790"/>
      <c r="M454" s="924"/>
      <c r="N454" s="1161"/>
      <c r="O454" s="1036"/>
      <c r="P454" s="1036"/>
      <c r="Q454" s="614"/>
      <c r="R454" s="612"/>
      <c r="S454" s="924"/>
      <c r="T454" s="1353"/>
      <c r="U454" s="90"/>
    </row>
    <row r="455" spans="1:21" ht="15" customHeight="1">
      <c r="A455" s="1134"/>
      <c r="B455" s="1134"/>
      <c r="C455" s="582"/>
      <c r="D455" s="664"/>
      <c r="E455" s="1121"/>
      <c r="F455" s="1122"/>
      <c r="G455" s="682"/>
      <c r="H455" s="287">
        <v>27940.42</v>
      </c>
      <c r="I455" s="288">
        <v>27940.42</v>
      </c>
      <c r="J455" s="288">
        <v>3104.49</v>
      </c>
      <c r="K455" s="285">
        <v>3104.49</v>
      </c>
      <c r="L455" s="790"/>
      <c r="M455" s="924"/>
      <c r="N455" s="1161"/>
      <c r="O455" s="1036"/>
      <c r="P455" s="1036"/>
      <c r="Q455" s="537"/>
      <c r="R455" s="680"/>
      <c r="S455" s="924"/>
      <c r="T455" s="1353"/>
      <c r="U455" s="90"/>
    </row>
    <row r="456" spans="1:21" ht="14.25" customHeight="1">
      <c r="A456" s="1134"/>
      <c r="B456" s="1134"/>
      <c r="C456" s="582"/>
      <c r="D456" s="664"/>
      <c r="E456" s="1121"/>
      <c r="F456" s="1122"/>
      <c r="G456" s="682"/>
      <c r="H456" s="287">
        <v>19559.29</v>
      </c>
      <c r="I456" s="288">
        <v>19559.29</v>
      </c>
      <c r="J456" s="288">
        <v>2173.26</v>
      </c>
      <c r="K456" s="285">
        <v>2173.26</v>
      </c>
      <c r="L456" s="790"/>
      <c r="M456" s="924"/>
      <c r="N456" s="1161"/>
      <c r="O456" s="1036"/>
      <c r="P456" s="1036"/>
      <c r="Q456" s="537"/>
      <c r="R456" s="680"/>
      <c r="S456" s="924"/>
      <c r="T456" s="1353"/>
      <c r="U456" s="90"/>
    </row>
    <row r="457" spans="1:21" ht="18.75" customHeight="1">
      <c r="A457" s="1134"/>
      <c r="B457" s="1134"/>
      <c r="C457" s="582"/>
      <c r="D457" s="664"/>
      <c r="E457" s="1121"/>
      <c r="F457" s="1122"/>
      <c r="G457" s="682"/>
      <c r="H457" s="287">
        <v>74290.8</v>
      </c>
      <c r="I457" s="288">
        <v>74290.8</v>
      </c>
      <c r="J457" s="288">
        <v>8254.53</v>
      </c>
      <c r="K457" s="285">
        <v>8254.53</v>
      </c>
      <c r="L457" s="790"/>
      <c r="M457" s="924"/>
      <c r="N457" s="1161"/>
      <c r="O457" s="1036"/>
      <c r="P457" s="1036"/>
      <c r="Q457" s="537"/>
      <c r="R457" s="680"/>
      <c r="S457" s="924"/>
      <c r="T457" s="1353"/>
      <c r="U457" s="90"/>
    </row>
    <row r="458" spans="1:21" ht="15.75" customHeight="1">
      <c r="A458" s="1134"/>
      <c r="B458" s="1134"/>
      <c r="C458" s="582"/>
      <c r="D458" s="664"/>
      <c r="E458" s="1121"/>
      <c r="F458" s="1122"/>
      <c r="G458" s="682"/>
      <c r="H458" s="287">
        <v>6962.47</v>
      </c>
      <c r="I458" s="288">
        <v>6962.47</v>
      </c>
      <c r="J458" s="288">
        <v>773.61</v>
      </c>
      <c r="K458" s="285">
        <v>773.61</v>
      </c>
      <c r="L458" s="790"/>
      <c r="M458" s="924"/>
      <c r="N458" s="1161"/>
      <c r="O458" s="1036"/>
      <c r="P458" s="1036"/>
      <c r="Q458" s="537"/>
      <c r="R458" s="680"/>
      <c r="S458" s="924"/>
      <c r="T458" s="1353"/>
      <c r="U458" s="90"/>
    </row>
    <row r="459" spans="1:21" ht="12.75" customHeight="1">
      <c r="A459" s="1134"/>
      <c r="B459" s="1134"/>
      <c r="C459" s="582"/>
      <c r="D459" s="664"/>
      <c r="E459" s="1121"/>
      <c r="F459" s="1122"/>
      <c r="G459" s="682"/>
      <c r="H459" s="287">
        <v>15935.26</v>
      </c>
      <c r="I459" s="288">
        <v>15935.26</v>
      </c>
      <c r="J459" s="288">
        <v>1770.58</v>
      </c>
      <c r="K459" s="285">
        <v>1770.58</v>
      </c>
      <c r="L459" s="790"/>
      <c r="M459" s="924"/>
      <c r="N459" s="1161"/>
      <c r="O459" s="1036"/>
      <c r="P459" s="1036"/>
      <c r="Q459" s="537"/>
      <c r="R459" s="680"/>
      <c r="S459" s="924"/>
      <c r="T459" s="1353"/>
      <c r="U459" s="90"/>
    </row>
    <row r="460" spans="1:21" ht="18.75" customHeight="1" thickBot="1">
      <c r="A460" s="1134"/>
      <c r="B460" s="1134"/>
      <c r="C460" s="582"/>
      <c r="D460" s="664"/>
      <c r="E460" s="1121"/>
      <c r="F460" s="1122"/>
      <c r="G460" s="682"/>
      <c r="H460" s="287">
        <v>1833.21</v>
      </c>
      <c r="I460" s="288">
        <v>1833.21</v>
      </c>
      <c r="J460" s="288">
        <v>203.69</v>
      </c>
      <c r="K460" s="285">
        <v>203.69</v>
      </c>
      <c r="L460" s="790"/>
      <c r="M460" s="924"/>
      <c r="N460" s="1161"/>
      <c r="O460" s="1036"/>
      <c r="P460" s="1036"/>
      <c r="Q460" s="537"/>
      <c r="R460" s="680"/>
      <c r="S460" s="924"/>
      <c r="T460" s="1354"/>
      <c r="U460" s="90"/>
    </row>
    <row r="461" spans="1:21" ht="18.75" customHeight="1" thickBot="1">
      <c r="A461" s="1134"/>
      <c r="B461" s="1134"/>
      <c r="C461" s="582"/>
      <c r="D461" s="664"/>
      <c r="E461" s="1121"/>
      <c r="F461" s="1122"/>
      <c r="G461" s="682"/>
      <c r="H461" s="287">
        <v>2242.8</v>
      </c>
      <c r="I461" s="288">
        <v>2242.8</v>
      </c>
      <c r="J461" s="288">
        <v>249.2</v>
      </c>
      <c r="K461" s="285">
        <v>249.2</v>
      </c>
      <c r="L461" s="790"/>
      <c r="M461" s="924"/>
      <c r="N461" s="1161"/>
      <c r="O461" s="1036"/>
      <c r="P461" s="1036"/>
      <c r="Q461" s="537"/>
      <c r="R461" s="680"/>
      <c r="S461" s="924"/>
      <c r="T461" s="587"/>
      <c r="U461" s="90"/>
    </row>
    <row r="462" spans="1:21" s="93" customFormat="1" ht="15" customHeight="1">
      <c r="A462" s="1067"/>
      <c r="B462" s="1067"/>
      <c r="C462" s="582"/>
      <c r="D462" s="664"/>
      <c r="E462" s="1144"/>
      <c r="F462" s="1145"/>
      <c r="G462" s="682"/>
      <c r="H462" s="287">
        <v>10740.28</v>
      </c>
      <c r="I462" s="288">
        <v>10740.28</v>
      </c>
      <c r="J462" s="288">
        <v>1193.38</v>
      </c>
      <c r="K462" s="285">
        <v>1193.37</v>
      </c>
      <c r="L462" s="1127"/>
      <c r="M462" s="1127"/>
      <c r="N462" s="1156"/>
      <c r="O462" s="1127"/>
      <c r="P462" s="1127"/>
      <c r="Q462" s="537"/>
      <c r="R462" s="680"/>
      <c r="S462" s="1127"/>
      <c r="T462" s="1251">
        <f>(E391-N391)/E391*100/9</f>
        <v>1.162406931583141</v>
      </c>
      <c r="U462" s="363"/>
    </row>
    <row r="463" spans="1:21" s="93" customFormat="1" ht="15" customHeight="1">
      <c r="A463" s="1067"/>
      <c r="B463" s="1067"/>
      <c r="C463" s="582"/>
      <c r="D463" s="664"/>
      <c r="E463" s="1144"/>
      <c r="F463" s="1145"/>
      <c r="G463" s="682"/>
      <c r="H463" s="287">
        <v>5625.5</v>
      </c>
      <c r="I463" s="288">
        <v>5625.5</v>
      </c>
      <c r="J463" s="288">
        <v>625.05</v>
      </c>
      <c r="K463" s="437">
        <v>625.05</v>
      </c>
      <c r="L463" s="1127"/>
      <c r="M463" s="1127"/>
      <c r="N463" s="1156"/>
      <c r="O463" s="1127"/>
      <c r="P463" s="1127"/>
      <c r="Q463" s="537"/>
      <c r="R463" s="680"/>
      <c r="S463" s="1127"/>
      <c r="T463" s="1252"/>
      <c r="U463" s="363"/>
    </row>
    <row r="464" spans="1:21" s="93" customFormat="1" ht="15" customHeight="1" thickBot="1">
      <c r="A464" s="1128"/>
      <c r="B464" s="1128"/>
      <c r="C464" s="582"/>
      <c r="D464" s="664"/>
      <c r="E464" s="1146"/>
      <c r="F464" s="1147"/>
      <c r="G464" s="682"/>
      <c r="H464" s="282">
        <v>6696.01</v>
      </c>
      <c r="I464" s="283">
        <v>6696.01</v>
      </c>
      <c r="J464" s="283">
        <v>744</v>
      </c>
      <c r="K464" s="532">
        <v>744</v>
      </c>
      <c r="L464" s="1157"/>
      <c r="M464" s="1157"/>
      <c r="N464" s="1157"/>
      <c r="O464" s="1157"/>
      <c r="P464" s="1157"/>
      <c r="Q464" s="537"/>
      <c r="R464" s="680"/>
      <c r="S464" s="1157"/>
      <c r="T464" s="1252"/>
      <c r="U464" s="363"/>
    </row>
    <row r="465" spans="1:21" s="93" customFormat="1" ht="15" customHeight="1">
      <c r="A465" s="1133" t="s">
        <v>41</v>
      </c>
      <c r="B465" s="1133" t="s">
        <v>42</v>
      </c>
      <c r="C465" s="25">
        <v>880102</v>
      </c>
      <c r="D465" s="20">
        <v>155312</v>
      </c>
      <c r="E465" s="25">
        <v>974317.18</v>
      </c>
      <c r="F465" s="20">
        <v>171938.34</v>
      </c>
      <c r="G465" s="348">
        <v>1146255.4710880967</v>
      </c>
      <c r="H465" s="25">
        <v>9312.21</v>
      </c>
      <c r="I465" s="19">
        <v>9312.21</v>
      </c>
      <c r="J465" s="19">
        <v>1643.33</v>
      </c>
      <c r="K465" s="39">
        <v>1643.33</v>
      </c>
      <c r="L465" s="1158">
        <f>SUM(H465:K473)</f>
        <v>1140579.8499999999</v>
      </c>
      <c r="M465" s="1160">
        <f>L465/E466*100</f>
        <v>99.50485123945137</v>
      </c>
      <c r="N465" s="1160">
        <v>885219.1888733984</v>
      </c>
      <c r="O465" s="1035">
        <f>N465/E465*100</f>
        <v>90.85534023667716</v>
      </c>
      <c r="P465" s="1035">
        <v>880132.36</v>
      </c>
      <c r="Q465" s="1345">
        <f>P465/E465*100</f>
        <v>90.33324856285506</v>
      </c>
      <c r="R465" s="292">
        <f>E465+F465</f>
        <v>1146255.52</v>
      </c>
      <c r="S465" s="1345">
        <f>P465/E465*100</f>
        <v>90.33324856285506</v>
      </c>
      <c r="T465" s="1252"/>
      <c r="U465" s="363"/>
    </row>
    <row r="466" spans="1:21" s="93" customFormat="1" ht="15" customHeight="1">
      <c r="A466" s="951"/>
      <c r="B466" s="1134"/>
      <c r="C466" s="1129">
        <f>SUM(C465:D465)</f>
        <v>1035414</v>
      </c>
      <c r="D466" s="1130"/>
      <c r="E466" s="1129">
        <f>E465+F465</f>
        <v>1146255.52</v>
      </c>
      <c r="F466" s="1130"/>
      <c r="G466" s="1091">
        <v>1146255.4710880967</v>
      </c>
      <c r="H466" s="34">
        <v>22344.81</v>
      </c>
      <c r="I466" s="33">
        <v>22344.81</v>
      </c>
      <c r="J466" s="33">
        <v>3943.2</v>
      </c>
      <c r="K466" s="43">
        <v>3943.2</v>
      </c>
      <c r="L466" s="1159"/>
      <c r="M466" s="1161"/>
      <c r="N466" s="1161"/>
      <c r="O466" s="1036"/>
      <c r="P466" s="1036"/>
      <c r="Q466" s="1346"/>
      <c r="R466" s="292"/>
      <c r="S466" s="1346"/>
      <c r="T466" s="1252"/>
      <c r="U466" s="363"/>
    </row>
    <row r="467" spans="1:21" s="93" customFormat="1" ht="15" customHeight="1">
      <c r="A467" s="951"/>
      <c r="B467" s="1134"/>
      <c r="C467" s="1131"/>
      <c r="D467" s="1118"/>
      <c r="E467" s="1131"/>
      <c r="F467" s="1118"/>
      <c r="G467" s="1092"/>
      <c r="H467" s="34">
        <v>180261.06</v>
      </c>
      <c r="I467" s="33">
        <v>180261.06</v>
      </c>
      <c r="J467" s="33">
        <v>31810.77</v>
      </c>
      <c r="K467" s="43">
        <v>31810.77</v>
      </c>
      <c r="L467" s="1159"/>
      <c r="M467" s="1161"/>
      <c r="N467" s="1161"/>
      <c r="O467" s="1036"/>
      <c r="P467" s="1036"/>
      <c r="Q467" s="1346"/>
      <c r="R467" s="292"/>
      <c r="S467" s="1346"/>
      <c r="T467" s="1252"/>
      <c r="U467" s="363"/>
    </row>
    <row r="468" spans="1:21" s="93" customFormat="1" ht="15" customHeight="1">
      <c r="A468" s="951"/>
      <c r="B468" s="1134"/>
      <c r="C468" s="1131"/>
      <c r="D468" s="1118"/>
      <c r="E468" s="1131"/>
      <c r="F468" s="1118"/>
      <c r="G468" s="1092"/>
      <c r="H468" s="30">
        <v>128329.19</v>
      </c>
      <c r="I468" s="31">
        <v>128329.19</v>
      </c>
      <c r="J468" s="31">
        <v>22646.32</v>
      </c>
      <c r="K468" s="41">
        <v>22646.32</v>
      </c>
      <c r="L468" s="1159"/>
      <c r="M468" s="1161"/>
      <c r="N468" s="1161"/>
      <c r="O468" s="1036"/>
      <c r="P468" s="1036"/>
      <c r="Q468" s="1346"/>
      <c r="R468" s="292"/>
      <c r="S468" s="1346"/>
      <c r="T468" s="1252"/>
      <c r="U468" s="363"/>
    </row>
    <row r="469" spans="1:21" s="93" customFormat="1" ht="15" customHeight="1">
      <c r="A469" s="951"/>
      <c r="B469" s="1134"/>
      <c r="C469" s="1131"/>
      <c r="D469" s="1118"/>
      <c r="E469" s="1131"/>
      <c r="F469" s="1118"/>
      <c r="G469" s="1092"/>
      <c r="H469" s="34">
        <v>73919.24</v>
      </c>
      <c r="I469" s="33">
        <v>73919.24</v>
      </c>
      <c r="J469" s="33">
        <v>13044.57</v>
      </c>
      <c r="K469" s="43">
        <v>13044.57</v>
      </c>
      <c r="L469" s="1159"/>
      <c r="M469" s="1161"/>
      <c r="N469" s="1161"/>
      <c r="O469" s="1036"/>
      <c r="P469" s="1036"/>
      <c r="Q469" s="1346"/>
      <c r="R469" s="292"/>
      <c r="S469" s="1346"/>
      <c r="T469" s="1252"/>
      <c r="U469" s="363"/>
    </row>
    <row r="470" spans="1:21" s="93" customFormat="1" ht="15" customHeight="1" thickBot="1">
      <c r="A470" s="951"/>
      <c r="B470" s="1134"/>
      <c r="C470" s="1131"/>
      <c r="D470" s="1118"/>
      <c r="E470" s="1131"/>
      <c r="F470" s="1118"/>
      <c r="G470" s="1092"/>
      <c r="H470" s="30">
        <v>48634.13</v>
      </c>
      <c r="I470" s="31">
        <v>48634.13</v>
      </c>
      <c r="J470" s="31">
        <v>8582.5</v>
      </c>
      <c r="K470" s="41">
        <v>8582.5</v>
      </c>
      <c r="L470" s="1159"/>
      <c r="M470" s="1161"/>
      <c r="N470" s="1161"/>
      <c r="O470" s="1036"/>
      <c r="P470" s="1036"/>
      <c r="Q470" s="1347"/>
      <c r="R470" s="292"/>
      <c r="S470" s="1346"/>
      <c r="T470" s="1252"/>
      <c r="U470" s="363"/>
    </row>
    <row r="471" spans="1:21" s="93" customFormat="1" ht="15" customHeight="1">
      <c r="A471" s="951"/>
      <c r="B471" s="1067"/>
      <c r="C471" s="1131"/>
      <c r="D471" s="1118"/>
      <c r="E471" s="1144"/>
      <c r="F471" s="1145"/>
      <c r="G471" s="1092"/>
      <c r="H471" s="34">
        <v>0</v>
      </c>
      <c r="I471" s="33">
        <v>0</v>
      </c>
      <c r="J471" s="33">
        <v>0</v>
      </c>
      <c r="K471" s="43">
        <v>0</v>
      </c>
      <c r="L471" s="1156"/>
      <c r="M471" s="1156"/>
      <c r="N471" s="1156"/>
      <c r="O471" s="1036"/>
      <c r="P471" s="1295"/>
      <c r="Q471" s="314"/>
      <c r="R471" s="292"/>
      <c r="S471" s="1346"/>
      <c r="T471" s="1252"/>
      <c r="U471" s="363"/>
    </row>
    <row r="472" spans="1:21" s="93" customFormat="1" ht="15" customHeight="1" thickBot="1">
      <c r="A472" s="951"/>
      <c r="B472" s="1067"/>
      <c r="C472" s="1131"/>
      <c r="D472" s="1118"/>
      <c r="E472" s="1144"/>
      <c r="F472" s="1145"/>
      <c r="G472" s="1092"/>
      <c r="H472" s="34">
        <v>0</v>
      </c>
      <c r="I472" s="33">
        <v>0</v>
      </c>
      <c r="J472" s="33">
        <v>0</v>
      </c>
      <c r="K472" s="43">
        <v>0</v>
      </c>
      <c r="L472" s="1156"/>
      <c r="M472" s="1156"/>
      <c r="N472" s="1156"/>
      <c r="O472" s="1036"/>
      <c r="P472" s="1295"/>
      <c r="Q472" s="314"/>
      <c r="R472" s="292"/>
      <c r="S472" s="1346"/>
      <c r="T472" s="1253"/>
      <c r="U472" s="363"/>
    </row>
    <row r="473" spans="1:21" s="93" customFormat="1" ht="15" customHeight="1" thickBot="1">
      <c r="A473" s="951"/>
      <c r="B473" s="1067"/>
      <c r="C473" s="1131"/>
      <c r="D473" s="1118"/>
      <c r="E473" s="1144"/>
      <c r="F473" s="1145"/>
      <c r="G473" s="1092"/>
      <c r="H473" s="30">
        <v>21945.8</v>
      </c>
      <c r="I473" s="31">
        <v>21945.8</v>
      </c>
      <c r="J473" s="31">
        <v>3872.8</v>
      </c>
      <c r="K473" s="41">
        <v>3872.79</v>
      </c>
      <c r="L473" s="1156"/>
      <c r="M473" s="1156"/>
      <c r="N473" s="1156"/>
      <c r="O473" s="1036"/>
      <c r="P473" s="1295"/>
      <c r="Q473" s="314"/>
      <c r="R473" s="292">
        <f>E466</f>
        <v>1146255.52</v>
      </c>
      <c r="S473" s="1365"/>
      <c r="T473" s="588"/>
      <c r="U473" s="363"/>
    </row>
    <row r="474" spans="1:20" ht="16.5" customHeight="1">
      <c r="A474" s="1133" t="s">
        <v>203</v>
      </c>
      <c r="B474" s="1133" t="s">
        <v>202</v>
      </c>
      <c r="C474" s="317">
        <v>395205</v>
      </c>
      <c r="D474" s="267">
        <v>69742</v>
      </c>
      <c r="E474" s="312">
        <v>396700.44</v>
      </c>
      <c r="F474" s="267">
        <v>70005.96</v>
      </c>
      <c r="G474" s="317">
        <v>464947</v>
      </c>
      <c r="H474" s="25">
        <v>851.94</v>
      </c>
      <c r="I474" s="19">
        <v>851.94</v>
      </c>
      <c r="J474" s="19">
        <v>150.34</v>
      </c>
      <c r="K474" s="39">
        <v>150.34</v>
      </c>
      <c r="L474" s="789">
        <f>SUM(H474:K479)</f>
        <v>443371.08</v>
      </c>
      <c r="M474" s="1035">
        <f>L474/E475*100</f>
        <v>95</v>
      </c>
      <c r="N474" s="1160">
        <f>333891+14571*2</f>
        <v>363033</v>
      </c>
      <c r="O474" s="1035">
        <f>N474/E474*100</f>
        <v>91.51313268016543</v>
      </c>
      <c r="P474" s="1035">
        <f>364+364+607+608+115767+115766+100415+14571*2</f>
        <v>363033</v>
      </c>
      <c r="Q474" s="537"/>
      <c r="R474" s="538">
        <f>E474+F474</f>
        <v>466706.4</v>
      </c>
      <c r="S474" s="923">
        <f>P474/E474*100</f>
        <v>91.51313268016543</v>
      </c>
      <c r="T474" s="1352">
        <f>(E408-N408)/E408*100/9</f>
        <v>1.1407994218957722</v>
      </c>
    </row>
    <row r="475" spans="1:20" ht="16.5" customHeight="1">
      <c r="A475" s="1134"/>
      <c r="B475" s="1134"/>
      <c r="C475" s="990">
        <f>SUM(C474:D474)</f>
        <v>464947</v>
      </c>
      <c r="D475" s="991"/>
      <c r="E475" s="1119">
        <f>E474+F474</f>
        <v>466706.4</v>
      </c>
      <c r="F475" s="1120"/>
      <c r="G475" s="1269">
        <v>464947</v>
      </c>
      <c r="H475" s="34">
        <v>118.85</v>
      </c>
      <c r="I475" s="33">
        <v>118.85</v>
      </c>
      <c r="J475" s="33">
        <v>20.98</v>
      </c>
      <c r="K475" s="43">
        <v>20.97</v>
      </c>
      <c r="L475" s="790"/>
      <c r="M475" s="1036"/>
      <c r="N475" s="1161"/>
      <c r="O475" s="1036"/>
      <c r="P475" s="1036"/>
      <c r="Q475" s="537"/>
      <c r="R475" s="538"/>
      <c r="S475" s="924"/>
      <c r="T475" s="1353"/>
    </row>
    <row r="476" spans="1:20" ht="16.5" customHeight="1" thickBot="1">
      <c r="A476" s="1134"/>
      <c r="B476" s="1134"/>
      <c r="C476" s="992"/>
      <c r="D476" s="993"/>
      <c r="E476" s="1121"/>
      <c r="F476" s="1122"/>
      <c r="G476" s="1271"/>
      <c r="H476" s="34">
        <v>38987.46</v>
      </c>
      <c r="I476" s="33">
        <v>38987.46</v>
      </c>
      <c r="J476" s="33">
        <v>6880.14</v>
      </c>
      <c r="K476" s="43">
        <v>6880.14</v>
      </c>
      <c r="L476" s="790"/>
      <c r="M476" s="1036"/>
      <c r="N476" s="1161"/>
      <c r="O476" s="1036"/>
      <c r="P476" s="1036"/>
      <c r="Q476" s="537"/>
      <c r="R476" s="538">
        <f>E475</f>
        <v>466706.4</v>
      </c>
      <c r="S476" s="924"/>
      <c r="T476" s="1353"/>
    </row>
    <row r="477" spans="1:20" ht="16.5" customHeight="1" thickBot="1">
      <c r="A477" s="1134"/>
      <c r="B477" s="1134"/>
      <c r="C477" s="982"/>
      <c r="D477" s="983"/>
      <c r="E477" s="1121"/>
      <c r="F477" s="1122"/>
      <c r="G477" s="63"/>
      <c r="H477" s="34">
        <v>76779.39</v>
      </c>
      <c r="I477" s="33">
        <v>76779.39</v>
      </c>
      <c r="J477" s="33">
        <v>13549.32</v>
      </c>
      <c r="K477" s="43">
        <v>13549.31</v>
      </c>
      <c r="L477" s="790"/>
      <c r="M477" s="1036"/>
      <c r="N477" s="1161"/>
      <c r="O477" s="1036"/>
      <c r="P477" s="1036"/>
      <c r="Q477" s="537"/>
      <c r="R477" s="538"/>
      <c r="S477" s="924"/>
      <c r="T477" s="1353"/>
    </row>
    <row r="478" spans="1:21" ht="16.5" customHeight="1">
      <c r="A478" s="1134"/>
      <c r="B478" s="1134"/>
      <c r="C478" s="359"/>
      <c r="D478" s="354"/>
      <c r="E478" s="1121"/>
      <c r="F478" s="1122"/>
      <c r="G478" s="63"/>
      <c r="H478" s="34">
        <v>50207.38</v>
      </c>
      <c r="I478" s="33">
        <v>50207.38</v>
      </c>
      <c r="J478" s="33">
        <v>8860.14</v>
      </c>
      <c r="K478" s="43">
        <v>8860.13</v>
      </c>
      <c r="L478" s="790"/>
      <c r="M478" s="1036"/>
      <c r="N478" s="1161"/>
      <c r="O478" s="1036"/>
      <c r="P478" s="1036"/>
      <c r="Q478" s="537"/>
      <c r="R478" s="538"/>
      <c r="S478" s="924"/>
      <c r="T478" s="1353"/>
      <c r="U478" s="90"/>
    </row>
    <row r="479" spans="1:21" ht="16.5" customHeight="1" thickBot="1">
      <c r="A479" s="1128"/>
      <c r="B479" s="1128"/>
      <c r="C479" s="359"/>
      <c r="D479" s="354"/>
      <c r="E479" s="1146"/>
      <c r="F479" s="1147"/>
      <c r="G479" s="63"/>
      <c r="H479" s="45">
        <v>21487.69</v>
      </c>
      <c r="I479" s="31">
        <v>21487.69</v>
      </c>
      <c r="J479" s="27">
        <v>3791.91</v>
      </c>
      <c r="K479" s="41">
        <v>3791.94</v>
      </c>
      <c r="L479" s="1157"/>
      <c r="M479" s="1157"/>
      <c r="N479" s="1132"/>
      <c r="O479" s="925"/>
      <c r="P479" s="925"/>
      <c r="Q479" s="705"/>
      <c r="R479" s="538"/>
      <c r="S479" s="925"/>
      <c r="T479" s="1353"/>
      <c r="U479" s="90"/>
    </row>
    <row r="480" spans="1:21" ht="16.5" customHeight="1">
      <c r="A480" s="1133" t="s">
        <v>29</v>
      </c>
      <c r="B480" s="1133" t="s">
        <v>30</v>
      </c>
      <c r="C480" s="265">
        <v>346107</v>
      </c>
      <c r="D480" s="267">
        <v>80503</v>
      </c>
      <c r="E480" s="61">
        <v>383376.03</v>
      </c>
      <c r="F480" s="80">
        <v>89171.66</v>
      </c>
      <c r="G480" s="348">
        <v>472547.69000000006</v>
      </c>
      <c r="H480" s="25">
        <v>63257.25</v>
      </c>
      <c r="I480" s="19">
        <v>63257.25</v>
      </c>
      <c r="J480" s="19">
        <v>14713.32</v>
      </c>
      <c r="K480" s="20">
        <v>14713.32</v>
      </c>
      <c r="L480" s="1158">
        <f>SUM(H480:K486)</f>
        <v>448920.31000000006</v>
      </c>
      <c r="M480" s="1160">
        <f>L480/E481*100</f>
        <v>95.00000095228484</v>
      </c>
      <c r="N480" s="1160">
        <f>320694.41+26830+1817+1818</f>
        <v>351159.41</v>
      </c>
      <c r="O480" s="1035">
        <f>N480/E480*100</f>
        <v>91.59660034040206</v>
      </c>
      <c r="P480" s="1035">
        <f>293733.67+10984*2+1817+1818</f>
        <v>319336.67</v>
      </c>
      <c r="Q480" s="1304">
        <f>P480/E480*100</f>
        <v>83.29594054171827</v>
      </c>
      <c r="R480" s="363">
        <f>E480+F480</f>
        <v>472547.69000000006</v>
      </c>
      <c r="S480" s="920">
        <f>P480/E480*100</f>
        <v>83.29594054171827</v>
      </c>
      <c r="T480" s="1353"/>
      <c r="U480" s="90"/>
    </row>
    <row r="481" spans="1:21" ht="16.5" customHeight="1" thickBot="1">
      <c r="A481" s="1134"/>
      <c r="B481" s="1134"/>
      <c r="C481" s="1135">
        <f>SUM(C480:D480)</f>
        <v>426610</v>
      </c>
      <c r="D481" s="1136"/>
      <c r="E481" s="1135">
        <v>472547.69000000006</v>
      </c>
      <c r="F481" s="1136"/>
      <c r="G481" s="1091">
        <v>472547.69000000006</v>
      </c>
      <c r="H481" s="34">
        <v>14466.15</v>
      </c>
      <c r="I481" s="33">
        <v>14466.15</v>
      </c>
      <c r="J481" s="33">
        <v>3364.22</v>
      </c>
      <c r="K481" s="35">
        <v>3364.22</v>
      </c>
      <c r="L481" s="1159"/>
      <c r="M481" s="1161"/>
      <c r="N481" s="1161"/>
      <c r="O481" s="1036"/>
      <c r="P481" s="1036"/>
      <c r="Q481" s="1306"/>
      <c r="R481" s="273"/>
      <c r="S481" s="921"/>
      <c r="T481" s="1354"/>
      <c r="U481" s="90"/>
    </row>
    <row r="482" spans="1:21" ht="16.5" customHeight="1">
      <c r="A482" s="1134"/>
      <c r="B482" s="1134"/>
      <c r="C482" s="1137"/>
      <c r="D482" s="1138"/>
      <c r="E482" s="1137"/>
      <c r="F482" s="1138"/>
      <c r="G482" s="1092"/>
      <c r="H482" s="34">
        <v>12129.23</v>
      </c>
      <c r="I482" s="42">
        <v>12129.23</v>
      </c>
      <c r="J482" s="33">
        <v>2820.75</v>
      </c>
      <c r="K482" s="43">
        <v>2820.75</v>
      </c>
      <c r="L482" s="1159"/>
      <c r="M482" s="1161"/>
      <c r="N482" s="1161"/>
      <c r="O482" s="1036"/>
      <c r="P482" s="1036"/>
      <c r="Q482" s="1306"/>
      <c r="R482" s="273"/>
      <c r="S482" s="921"/>
      <c r="T482" s="587"/>
      <c r="U482" s="90"/>
    </row>
    <row r="483" spans="1:21" ht="16.5" customHeight="1" thickBot="1">
      <c r="A483" s="1134"/>
      <c r="B483" s="1134"/>
      <c r="C483" s="1137"/>
      <c r="D483" s="1138"/>
      <c r="E483" s="1137"/>
      <c r="F483" s="1138"/>
      <c r="G483" s="1092"/>
      <c r="H483" s="34">
        <v>19350</v>
      </c>
      <c r="I483" s="42">
        <v>19350</v>
      </c>
      <c r="J483" s="36">
        <v>4500</v>
      </c>
      <c r="K483" s="35">
        <v>4500</v>
      </c>
      <c r="L483" s="1159"/>
      <c r="M483" s="1161"/>
      <c r="N483" s="1161"/>
      <c r="O483" s="1036"/>
      <c r="P483" s="1036"/>
      <c r="Q483" s="1307"/>
      <c r="R483" s="363"/>
      <c r="S483" s="921"/>
      <c r="T483" s="587"/>
      <c r="U483" s="90"/>
    </row>
    <row r="484" spans="1:21" s="91" customFormat="1" ht="17.25" customHeight="1">
      <c r="A484" s="1134"/>
      <c r="B484" s="1134"/>
      <c r="C484" s="1137"/>
      <c r="D484" s="1138"/>
      <c r="E484" s="1137"/>
      <c r="F484" s="1138"/>
      <c r="G484" s="1092"/>
      <c r="H484" s="34">
        <v>14512.5</v>
      </c>
      <c r="I484" s="42">
        <v>14512.5</v>
      </c>
      <c r="J484" s="36">
        <v>3375</v>
      </c>
      <c r="K484" s="35">
        <v>3375</v>
      </c>
      <c r="L484" s="1159"/>
      <c r="M484" s="1161"/>
      <c r="N484" s="1161"/>
      <c r="O484" s="1036"/>
      <c r="P484" s="1036"/>
      <c r="Q484" s="315"/>
      <c r="R484" s="363"/>
      <c r="S484" s="921"/>
      <c r="T484" s="1366">
        <f>(E422-N422)/E422*100/9</f>
        <v>1.092589063984468</v>
      </c>
      <c r="U484" s="292"/>
    </row>
    <row r="485" spans="1:21" s="91" customFormat="1" ht="17.25" customHeight="1" thickBot="1">
      <c r="A485" s="1134"/>
      <c r="B485" s="1134"/>
      <c r="C485" s="1144"/>
      <c r="D485" s="1145"/>
      <c r="E485" s="1137"/>
      <c r="F485" s="1138"/>
      <c r="G485" s="1081"/>
      <c r="H485" s="34">
        <v>11287.5</v>
      </c>
      <c r="I485" s="42">
        <v>11287.5</v>
      </c>
      <c r="J485" s="36">
        <v>2625</v>
      </c>
      <c r="K485" s="35">
        <v>2625</v>
      </c>
      <c r="L485" s="1159"/>
      <c r="M485" s="1161"/>
      <c r="N485" s="1161"/>
      <c r="O485" s="1036"/>
      <c r="P485" s="1036"/>
      <c r="Q485" s="315"/>
      <c r="R485" s="363">
        <f>E481</f>
        <v>472547.69000000006</v>
      </c>
      <c r="S485" s="921"/>
      <c r="T485" s="1361"/>
      <c r="U485" s="292"/>
    </row>
    <row r="486" spans="1:21" s="91" customFormat="1" ht="17.25" customHeight="1" thickBot="1">
      <c r="A486" s="1090"/>
      <c r="B486" s="1090"/>
      <c r="C486" s="1144"/>
      <c r="D486" s="1145"/>
      <c r="E486" s="1139"/>
      <c r="F486" s="1140"/>
      <c r="G486" s="401"/>
      <c r="H486" s="73">
        <v>47100.88</v>
      </c>
      <c r="I486" s="44">
        <v>47101.09</v>
      </c>
      <c r="J486" s="536">
        <v>10958.25</v>
      </c>
      <c r="K486" s="74">
        <v>10958.25</v>
      </c>
      <c r="L486" s="1113"/>
      <c r="M486" s="1126"/>
      <c r="N486" s="1126"/>
      <c r="O486" s="1027"/>
      <c r="P486" s="1027"/>
      <c r="Q486" s="315"/>
      <c r="R486" s="363"/>
      <c r="S486" s="922"/>
      <c r="T486" s="1361"/>
      <c r="U486" s="292"/>
    </row>
    <row r="487" spans="1:21" s="91" customFormat="1" ht="19.5" customHeight="1" thickBot="1">
      <c r="A487" s="1133" t="s">
        <v>158</v>
      </c>
      <c r="B487" s="1133" t="s">
        <v>159</v>
      </c>
      <c r="C487" s="310">
        <f>2*192825</f>
        <v>385650</v>
      </c>
      <c r="D487" s="289">
        <f>2*21425</f>
        <v>42850</v>
      </c>
      <c r="E487" s="265">
        <v>385650</v>
      </c>
      <c r="F487" s="267">
        <v>42850</v>
      </c>
      <c r="G487" s="317">
        <v>428500</v>
      </c>
      <c r="H487" s="265">
        <v>40500</v>
      </c>
      <c r="I487" s="266">
        <v>40500</v>
      </c>
      <c r="J487" s="266">
        <v>4500</v>
      </c>
      <c r="K487" s="267">
        <v>4500</v>
      </c>
      <c r="L487" s="789">
        <f>SUM(H487:K491)</f>
        <v>407074.99999999994</v>
      </c>
      <c r="M487" s="923">
        <f>L487/E488*100</f>
        <v>94.99999999999999</v>
      </c>
      <c r="N487" s="1160">
        <f>240952+27963*2+28680+28681</f>
        <v>354239</v>
      </c>
      <c r="O487" s="1035">
        <f>N487/E487*100</f>
        <v>91.8550499157267</v>
      </c>
      <c r="P487" s="1035">
        <f>191883+24534+24535+27963*2</f>
        <v>296878</v>
      </c>
      <c r="Q487" s="1339">
        <f>P487/E487*100</f>
        <v>76.98120057046545</v>
      </c>
      <c r="R487" s="363">
        <f>E487+F487</f>
        <v>428500</v>
      </c>
      <c r="S487" s="923">
        <f>P487/E487*100</f>
        <v>76.98120057046545</v>
      </c>
      <c r="T487" s="1349"/>
      <c r="U487" s="292"/>
    </row>
    <row r="488" spans="1:21" s="91" customFormat="1" ht="19.5" customHeight="1" thickBot="1">
      <c r="A488" s="1134"/>
      <c r="B488" s="1134"/>
      <c r="C488" s="1119">
        <f>C487+D487</f>
        <v>428500</v>
      </c>
      <c r="D488" s="1120"/>
      <c r="E488" s="1119">
        <v>428500</v>
      </c>
      <c r="F488" s="1065"/>
      <c r="G488" s="1254">
        <v>428500</v>
      </c>
      <c r="H488" s="287">
        <v>38250</v>
      </c>
      <c r="I488" s="288">
        <v>38250</v>
      </c>
      <c r="J488" s="288">
        <v>4250</v>
      </c>
      <c r="K488" s="285">
        <v>4250</v>
      </c>
      <c r="L488" s="790"/>
      <c r="M488" s="924"/>
      <c r="N488" s="1161"/>
      <c r="O488" s="1036"/>
      <c r="P488" s="1036"/>
      <c r="Q488" s="1340"/>
      <c r="R488" s="363"/>
      <c r="S488" s="924"/>
      <c r="T488" s="588"/>
      <c r="U488" s="292"/>
    </row>
    <row r="489" spans="1:21" ht="17.25" customHeight="1">
      <c r="A489" s="1134"/>
      <c r="B489" s="1134"/>
      <c r="C489" s="1121"/>
      <c r="D489" s="1122"/>
      <c r="E489" s="1121"/>
      <c r="F489" s="1058"/>
      <c r="G489" s="1255"/>
      <c r="H489" s="287">
        <v>38211.81</v>
      </c>
      <c r="I489" s="288">
        <v>38211.81</v>
      </c>
      <c r="J489" s="288">
        <v>4245.77</v>
      </c>
      <c r="K489" s="285">
        <v>4245.76</v>
      </c>
      <c r="L489" s="790"/>
      <c r="M489" s="924"/>
      <c r="N489" s="1161"/>
      <c r="O489" s="1036"/>
      <c r="P489" s="1036"/>
      <c r="Q489" s="315"/>
      <c r="R489" s="363">
        <f>E488</f>
        <v>428500</v>
      </c>
      <c r="S489" s="924"/>
      <c r="T489" s="1352">
        <f>(E427-N427)/E427*100/9</f>
        <v>1.05210187537157</v>
      </c>
      <c r="U489" s="90"/>
    </row>
    <row r="490" spans="1:21" ht="17.25" customHeight="1">
      <c r="A490" s="1134"/>
      <c r="B490" s="1134"/>
      <c r="C490" s="531"/>
      <c r="D490" s="581"/>
      <c r="E490" s="1121"/>
      <c r="F490" s="1058"/>
      <c r="G490" s="63"/>
      <c r="H490" s="398">
        <v>56109.51</v>
      </c>
      <c r="I490" s="399">
        <v>56109.51</v>
      </c>
      <c r="J490" s="399">
        <v>6234.39</v>
      </c>
      <c r="K490" s="285">
        <v>6234.39</v>
      </c>
      <c r="L490" s="790"/>
      <c r="M490" s="924"/>
      <c r="N490" s="1161"/>
      <c r="O490" s="1036"/>
      <c r="P490" s="1036"/>
      <c r="Q490" s="315"/>
      <c r="R490" s="363"/>
      <c r="S490" s="924"/>
      <c r="T490" s="1353"/>
      <c r="U490" s="90"/>
    </row>
    <row r="491" spans="1:21" ht="17.25" customHeight="1" thickBot="1">
      <c r="A491" s="1090"/>
      <c r="B491" s="1090"/>
      <c r="C491" s="531"/>
      <c r="D491" s="581"/>
      <c r="E491" s="905"/>
      <c r="F491" s="1264"/>
      <c r="G491" s="63"/>
      <c r="H491" s="359">
        <v>10112.42</v>
      </c>
      <c r="I491" s="355">
        <v>10112.42</v>
      </c>
      <c r="J491" s="355">
        <v>1123.61</v>
      </c>
      <c r="K491" s="284">
        <v>1123.6</v>
      </c>
      <c r="L491" s="766"/>
      <c r="M491" s="927"/>
      <c r="N491" s="1126"/>
      <c r="O491" s="1027"/>
      <c r="P491" s="1027"/>
      <c r="Q491" s="315"/>
      <c r="R491" s="363"/>
      <c r="S491" s="927"/>
      <c r="T491" s="1353"/>
      <c r="U491" s="90"/>
    </row>
    <row r="492" spans="1:21" ht="17.25" customHeight="1">
      <c r="A492" s="1133" t="s">
        <v>21</v>
      </c>
      <c r="B492" s="1133" t="s">
        <v>22</v>
      </c>
      <c r="C492" s="288">
        <v>459014</v>
      </c>
      <c r="D492" s="288">
        <v>81003</v>
      </c>
      <c r="E492" s="25">
        <v>516227.46</v>
      </c>
      <c r="F492" s="20">
        <v>91098.96</v>
      </c>
      <c r="G492" s="38">
        <v>607326.428334329</v>
      </c>
      <c r="H492" s="25">
        <v>564.78</v>
      </c>
      <c r="I492" s="19">
        <v>564.78</v>
      </c>
      <c r="J492" s="19">
        <v>99.67</v>
      </c>
      <c r="K492" s="17">
        <v>99.67</v>
      </c>
      <c r="L492" s="789">
        <f>SUM(H492:K501)</f>
        <v>607301.694454624</v>
      </c>
      <c r="M492" s="1035">
        <f>L492/E493*100</f>
        <v>99.99592878811758</v>
      </c>
      <c r="N492" s="1160">
        <v>475065.61</v>
      </c>
      <c r="O492" s="1035">
        <f>N492/E492*100</f>
        <v>92.02641215560288</v>
      </c>
      <c r="P492" s="1035">
        <f>150175+33614*2+637*2+106668+106668</f>
        <v>432013</v>
      </c>
      <c r="Q492" s="1345">
        <f>P492/E492*100</f>
        <v>83.68655940929605</v>
      </c>
      <c r="R492" s="292">
        <f>E492+F492</f>
        <v>607326.42</v>
      </c>
      <c r="S492" s="923">
        <f>P492/E492*100</f>
        <v>83.68655940929605</v>
      </c>
      <c r="T492" s="1353"/>
      <c r="U492" s="90"/>
    </row>
    <row r="493" spans="1:21" ht="17.25" customHeight="1">
      <c r="A493" s="1134"/>
      <c r="B493" s="1134"/>
      <c r="C493" s="1119">
        <f>SUM(C492:D492)</f>
        <v>540017</v>
      </c>
      <c r="D493" s="1120"/>
      <c r="E493" s="1119">
        <f>E492+F492</f>
        <v>607326.42</v>
      </c>
      <c r="F493" s="1120"/>
      <c r="G493" s="1269">
        <v>607326.428334329</v>
      </c>
      <c r="H493" s="34">
        <v>30596.36</v>
      </c>
      <c r="I493" s="33">
        <v>30596.36</v>
      </c>
      <c r="J493" s="33">
        <v>5399.36</v>
      </c>
      <c r="K493" s="36">
        <v>5399.36</v>
      </c>
      <c r="L493" s="790"/>
      <c r="M493" s="1036"/>
      <c r="N493" s="1161"/>
      <c r="O493" s="1036"/>
      <c r="P493" s="1036"/>
      <c r="Q493" s="1346"/>
      <c r="R493" s="292"/>
      <c r="S493" s="924"/>
      <c r="T493" s="1353"/>
      <c r="U493" s="90"/>
    </row>
    <row r="494" spans="1:21" ht="17.25" customHeight="1">
      <c r="A494" s="1134"/>
      <c r="B494" s="1134"/>
      <c r="C494" s="1121"/>
      <c r="D494" s="1122"/>
      <c r="E494" s="1121"/>
      <c r="F494" s="1122"/>
      <c r="G494" s="1270"/>
      <c r="H494" s="12">
        <v>670.779393215163</v>
      </c>
      <c r="I494" s="11">
        <v>670.779393215163</v>
      </c>
      <c r="J494" s="11">
        <v>118.37283409679345</v>
      </c>
      <c r="K494" s="24">
        <v>118.37283409679345</v>
      </c>
      <c r="L494" s="790"/>
      <c r="M494" s="1036"/>
      <c r="N494" s="1161"/>
      <c r="O494" s="1036"/>
      <c r="P494" s="1036"/>
      <c r="Q494" s="1346"/>
      <c r="R494" s="292"/>
      <c r="S494" s="924"/>
      <c r="T494" s="1353"/>
      <c r="U494" s="90"/>
    </row>
    <row r="495" spans="1:21" ht="17.25" customHeight="1">
      <c r="A495" s="1134"/>
      <c r="B495" s="1134"/>
      <c r="C495" s="1121"/>
      <c r="D495" s="1122"/>
      <c r="E495" s="1121"/>
      <c r="F495" s="1122"/>
      <c r="G495" s="1270"/>
      <c r="H495" s="34">
        <v>43488.59</v>
      </c>
      <c r="I495" s="33">
        <v>43488.59</v>
      </c>
      <c r="J495" s="33">
        <v>7674.46</v>
      </c>
      <c r="K495" s="35">
        <v>7674.46</v>
      </c>
      <c r="L495" s="790"/>
      <c r="M495" s="1036"/>
      <c r="N495" s="1161"/>
      <c r="O495" s="1036"/>
      <c r="P495" s="1036"/>
      <c r="Q495" s="1346"/>
      <c r="R495" s="292"/>
      <c r="S495" s="924"/>
      <c r="T495" s="1353"/>
      <c r="U495" s="90"/>
    </row>
    <row r="496" spans="1:21" ht="17.25" customHeight="1">
      <c r="A496" s="1134"/>
      <c r="B496" s="1134"/>
      <c r="C496" s="1121"/>
      <c r="D496" s="1122"/>
      <c r="E496" s="1121"/>
      <c r="F496" s="1122"/>
      <c r="G496" s="1270"/>
      <c r="H496" s="34">
        <v>33613.65</v>
      </c>
      <c r="I496" s="33">
        <v>33613.65</v>
      </c>
      <c r="J496" s="33">
        <v>5931.82</v>
      </c>
      <c r="K496" s="35">
        <v>5931.82</v>
      </c>
      <c r="L496" s="790"/>
      <c r="M496" s="1036"/>
      <c r="N496" s="1161"/>
      <c r="O496" s="1036"/>
      <c r="P496" s="1036"/>
      <c r="Q496" s="1346"/>
      <c r="R496" s="292"/>
      <c r="S496" s="924"/>
      <c r="T496" s="1353"/>
      <c r="U496" s="90"/>
    </row>
    <row r="497" spans="1:21" ht="17.25" customHeight="1" thickBot="1">
      <c r="A497" s="1134"/>
      <c r="B497" s="1134"/>
      <c r="C497" s="1121"/>
      <c r="D497" s="1122"/>
      <c r="E497" s="1121"/>
      <c r="F497" s="1122"/>
      <c r="G497" s="1270"/>
      <c r="H497" s="34">
        <v>636.99</v>
      </c>
      <c r="I497" s="33">
        <v>636.99</v>
      </c>
      <c r="J497" s="33">
        <v>112.41</v>
      </c>
      <c r="K497" s="35">
        <v>112.41</v>
      </c>
      <c r="L497" s="790"/>
      <c r="M497" s="1036"/>
      <c r="N497" s="1161"/>
      <c r="O497" s="1036"/>
      <c r="P497" s="1036"/>
      <c r="Q497" s="1346"/>
      <c r="R497" s="292"/>
      <c r="S497" s="924"/>
      <c r="T497" s="1354"/>
      <c r="U497" s="90"/>
    </row>
    <row r="498" spans="1:21" ht="13.5" customHeight="1">
      <c r="A498" s="1134"/>
      <c r="B498" s="1134"/>
      <c r="C498" s="1121"/>
      <c r="D498" s="1122"/>
      <c r="E498" s="1121"/>
      <c r="F498" s="1122"/>
      <c r="G498" s="1270"/>
      <c r="H498" s="34">
        <v>57388.14</v>
      </c>
      <c r="I498" s="33">
        <v>57388.14</v>
      </c>
      <c r="J498" s="33">
        <v>10127.33</v>
      </c>
      <c r="K498" s="35">
        <v>10127.32</v>
      </c>
      <c r="L498" s="790"/>
      <c r="M498" s="1036"/>
      <c r="N498" s="1161"/>
      <c r="O498" s="1036"/>
      <c r="P498" s="1036"/>
      <c r="Q498" s="1346"/>
      <c r="R498" s="292"/>
      <c r="S498" s="924"/>
      <c r="T498" s="1367">
        <f>(E480-N480)/E480*100/9</f>
        <v>0.9337110732886588</v>
      </c>
      <c r="U498" s="90"/>
    </row>
    <row r="499" spans="1:21" ht="13.5" customHeight="1" thickBot="1">
      <c r="A499" s="1134"/>
      <c r="B499" s="1134"/>
      <c r="C499" s="1121"/>
      <c r="D499" s="1122"/>
      <c r="E499" s="1121"/>
      <c r="F499" s="1122"/>
      <c r="G499" s="1270"/>
      <c r="H499" s="34">
        <v>212.33</v>
      </c>
      <c r="I499" s="33">
        <v>212.33</v>
      </c>
      <c r="J499" s="33">
        <v>37.47</v>
      </c>
      <c r="K499" s="35">
        <v>37.47</v>
      </c>
      <c r="L499" s="790"/>
      <c r="M499" s="1036"/>
      <c r="N499" s="1161"/>
      <c r="O499" s="1036"/>
      <c r="P499" s="1036"/>
      <c r="Q499" s="1347"/>
      <c r="R499" s="292"/>
      <c r="S499" s="924"/>
      <c r="T499" s="1368"/>
      <c r="U499" s="90"/>
    </row>
    <row r="500" spans="1:21" ht="13.5" customHeight="1" thickBot="1">
      <c r="A500" s="1134"/>
      <c r="B500" s="1134"/>
      <c r="C500" s="1388"/>
      <c r="D500" s="1389"/>
      <c r="E500" s="1121"/>
      <c r="F500" s="1122"/>
      <c r="G500" s="1271"/>
      <c r="H500" s="34">
        <v>78036.42</v>
      </c>
      <c r="I500" s="33">
        <v>78036.42</v>
      </c>
      <c r="J500" s="33">
        <v>13771.13</v>
      </c>
      <c r="K500" s="43">
        <v>13771.13</v>
      </c>
      <c r="L500" s="790"/>
      <c r="M500" s="1036"/>
      <c r="N500" s="1161"/>
      <c r="O500" s="1036"/>
      <c r="P500" s="1036"/>
      <c r="Q500" s="314"/>
      <c r="R500" s="292">
        <f>E493</f>
        <v>607326.42</v>
      </c>
      <c r="S500" s="924"/>
      <c r="T500" s="1368"/>
      <c r="U500" s="90"/>
    </row>
    <row r="501" spans="1:21" ht="13.5" customHeight="1" thickBot="1">
      <c r="A501" s="1128"/>
      <c r="B501" s="1128"/>
      <c r="C501" s="531"/>
      <c r="D501" s="581"/>
      <c r="E501" s="1146"/>
      <c r="F501" s="1147"/>
      <c r="G501" s="63"/>
      <c r="H501" s="30">
        <v>12895.17</v>
      </c>
      <c r="I501" s="31">
        <v>12895.17</v>
      </c>
      <c r="J501" s="31">
        <v>2275.62</v>
      </c>
      <c r="K501" s="40">
        <v>2275.62</v>
      </c>
      <c r="L501" s="1157"/>
      <c r="M501" s="1157"/>
      <c r="N501" s="1157"/>
      <c r="O501" s="1157"/>
      <c r="P501" s="1157"/>
      <c r="Q501" s="314"/>
      <c r="R501" s="292"/>
      <c r="S501" s="1157"/>
      <c r="T501" s="1368"/>
      <c r="U501" s="90"/>
    </row>
    <row r="502" spans="1:21" ht="13.5" customHeight="1">
      <c r="A502" s="1133" t="s">
        <v>37</v>
      </c>
      <c r="B502" s="1133" t="s">
        <v>38</v>
      </c>
      <c r="C502" s="9">
        <v>321272</v>
      </c>
      <c r="D502" s="10">
        <v>56695</v>
      </c>
      <c r="E502" s="61">
        <v>349681.59</v>
      </c>
      <c r="F502" s="80">
        <v>61708.52</v>
      </c>
      <c r="G502" s="348">
        <v>411390.11000000004</v>
      </c>
      <c r="H502" s="25">
        <v>0</v>
      </c>
      <c r="I502" s="19">
        <v>139872.63128194914</v>
      </c>
      <c r="J502" s="19">
        <v>0</v>
      </c>
      <c r="K502" s="39">
        <v>24683.40536413729</v>
      </c>
      <c r="L502" s="789">
        <f>SUM(H502:K507)</f>
        <v>409752.96953594894</v>
      </c>
      <c r="M502" s="1035">
        <f>L502/E503*100</f>
        <v>99.60204671326419</v>
      </c>
      <c r="N502" s="1160">
        <v>321943.89</v>
      </c>
      <c r="O502" s="1035">
        <f>N502/E502*100</f>
        <v>92.06772652801081</v>
      </c>
      <c r="P502" s="1035">
        <v>321438.57</v>
      </c>
      <c r="Q502" s="923">
        <f>(P502/E502)*100</f>
        <v>91.92321791947926</v>
      </c>
      <c r="R502" s="292">
        <f>E502+F502</f>
        <v>411390.11000000004</v>
      </c>
      <c r="S502" s="923">
        <f>P502/E502*100</f>
        <v>91.92321791947926</v>
      </c>
      <c r="T502" s="1368"/>
      <c r="U502" s="90"/>
    </row>
    <row r="503" spans="1:21" ht="16.5" customHeight="1">
      <c r="A503" s="1134"/>
      <c r="B503" s="1134"/>
      <c r="C503" s="1148">
        <f>(C502+D502)</f>
        <v>377967</v>
      </c>
      <c r="D503" s="1149"/>
      <c r="E503" s="1135">
        <v>411390.11000000004</v>
      </c>
      <c r="F503" s="1136"/>
      <c r="G503" s="1091">
        <v>411390.11000000004</v>
      </c>
      <c r="H503" s="34">
        <v>0</v>
      </c>
      <c r="I503" s="33">
        <v>24217.93898957711</v>
      </c>
      <c r="J503" s="33">
        <v>0</v>
      </c>
      <c r="K503" s="43">
        <v>4273.753900285467</v>
      </c>
      <c r="L503" s="790"/>
      <c r="M503" s="1036"/>
      <c r="N503" s="1161"/>
      <c r="O503" s="1036"/>
      <c r="P503" s="1036"/>
      <c r="Q503" s="924"/>
      <c r="R503" s="292"/>
      <c r="S503" s="924"/>
      <c r="T503" s="1368"/>
      <c r="U503" s="90"/>
    </row>
    <row r="504" spans="1:21" ht="16.5" customHeight="1" thickBot="1">
      <c r="A504" s="1134"/>
      <c r="B504" s="1134"/>
      <c r="C504" s="1150"/>
      <c r="D504" s="1151"/>
      <c r="E504" s="1137"/>
      <c r="F504" s="1138"/>
      <c r="G504" s="1092"/>
      <c r="H504" s="34">
        <v>0</v>
      </c>
      <c r="I504" s="33">
        <v>84259.65</v>
      </c>
      <c r="J504" s="33">
        <v>0</v>
      </c>
      <c r="K504" s="43">
        <v>14869.35</v>
      </c>
      <c r="L504" s="790"/>
      <c r="M504" s="1036"/>
      <c r="N504" s="1161"/>
      <c r="O504" s="1036"/>
      <c r="P504" s="1036"/>
      <c r="Q504" s="927"/>
      <c r="R504" s="292"/>
      <c r="S504" s="924"/>
      <c r="T504" s="1369"/>
      <c r="U504" s="90"/>
    </row>
    <row r="505" spans="1:21" ht="17.25" customHeight="1">
      <c r="A505" s="1134"/>
      <c r="B505" s="1134"/>
      <c r="C505" s="1150"/>
      <c r="D505" s="1151"/>
      <c r="E505" s="1137"/>
      <c r="F505" s="1138"/>
      <c r="G505" s="1092"/>
      <c r="H505" s="34">
        <v>0</v>
      </c>
      <c r="I505" s="33">
        <v>55005.68</v>
      </c>
      <c r="J505" s="33">
        <v>0</v>
      </c>
      <c r="K505" s="43">
        <v>9706.88</v>
      </c>
      <c r="L505" s="790"/>
      <c r="M505" s="1036"/>
      <c r="N505" s="1161"/>
      <c r="O505" s="1036"/>
      <c r="P505" s="1036"/>
      <c r="Q505" s="281"/>
      <c r="R505" s="292"/>
      <c r="S505" s="924"/>
      <c r="T505" s="1364">
        <f>(E436-N436)/E436*100/9</f>
        <v>1.0365031906041857</v>
      </c>
      <c r="U505" s="90"/>
    </row>
    <row r="506" spans="1:21" ht="17.25" customHeight="1" thickBot="1">
      <c r="A506" s="1063"/>
      <c r="B506" s="1067"/>
      <c r="C506" s="1152"/>
      <c r="D506" s="1153"/>
      <c r="E506" s="1144"/>
      <c r="F506" s="1145"/>
      <c r="G506" s="1081"/>
      <c r="H506" s="34">
        <v>0</v>
      </c>
      <c r="I506" s="33">
        <v>28841.6</v>
      </c>
      <c r="J506" s="33">
        <v>0</v>
      </c>
      <c r="K506" s="43">
        <v>5089.7</v>
      </c>
      <c r="L506" s="1127"/>
      <c r="M506" s="1127"/>
      <c r="N506" s="1156"/>
      <c r="O506" s="1036"/>
      <c r="P506" s="1295"/>
      <c r="Q506" s="281"/>
      <c r="R506" s="292">
        <f>E503</f>
        <v>411390.11000000004</v>
      </c>
      <c r="S506" s="924"/>
      <c r="T506" s="1353"/>
      <c r="U506" s="90"/>
    </row>
    <row r="507" spans="1:21" ht="17.25" customHeight="1" thickBot="1">
      <c r="A507" s="1128"/>
      <c r="B507" s="1128"/>
      <c r="C507" s="578"/>
      <c r="D507" s="746"/>
      <c r="E507" s="1146"/>
      <c r="F507" s="1147"/>
      <c r="G507" s="391"/>
      <c r="H507" s="30">
        <v>0</v>
      </c>
      <c r="I507" s="31">
        <v>16092.52</v>
      </c>
      <c r="J507" s="31">
        <v>0</v>
      </c>
      <c r="K507" s="40">
        <v>2839.86</v>
      </c>
      <c r="L507" s="1157"/>
      <c r="M507" s="1157"/>
      <c r="N507" s="1132"/>
      <c r="O507" s="1027"/>
      <c r="P507" s="925"/>
      <c r="Q507" s="281"/>
      <c r="R507" s="292"/>
      <c r="S507" s="925"/>
      <c r="T507" s="1353"/>
      <c r="U507" s="90"/>
    </row>
    <row r="508" spans="1:21" ht="17.25" customHeight="1">
      <c r="A508" s="1133" t="s">
        <v>222</v>
      </c>
      <c r="B508" s="1133" t="s">
        <v>221</v>
      </c>
      <c r="C508" s="265">
        <f>209578*2</f>
        <v>419156</v>
      </c>
      <c r="D508" s="267">
        <f>23286.5*2</f>
        <v>46573</v>
      </c>
      <c r="E508" s="265">
        <v>419156</v>
      </c>
      <c r="F508" s="267">
        <v>46573</v>
      </c>
      <c r="G508" s="317">
        <v>465729</v>
      </c>
      <c r="H508" s="265">
        <v>2098.22</v>
      </c>
      <c r="I508" s="266">
        <v>2098.22</v>
      </c>
      <c r="J508" s="266">
        <v>233.15</v>
      </c>
      <c r="K508" s="267">
        <v>233.14</v>
      </c>
      <c r="L508" s="789">
        <f>SUM(H508:K517)</f>
        <v>442442.55</v>
      </c>
      <c r="M508" s="923">
        <v>69.02905552370586</v>
      </c>
      <c r="N508" s="1160">
        <f>14826+300925+18447+18448+10724+25899</f>
        <v>389269</v>
      </c>
      <c r="O508" s="1035">
        <f>N508/E508*100</f>
        <v>92.86971914991076</v>
      </c>
      <c r="P508" s="1035">
        <f>315751+18447+18448+5362*2+12950+12949</f>
        <v>389269</v>
      </c>
      <c r="Q508" s="537"/>
      <c r="R508" s="538">
        <f>E508+F508</f>
        <v>465729</v>
      </c>
      <c r="S508" s="920">
        <f>P508/E508*100</f>
        <v>92.86971914991076</v>
      </c>
      <c r="T508" s="1353"/>
      <c r="U508" s="90"/>
    </row>
    <row r="509" spans="1:21" ht="17.25" customHeight="1">
      <c r="A509" s="1134"/>
      <c r="B509" s="1134"/>
      <c r="C509" s="990">
        <f>C508+D508</f>
        <v>465729</v>
      </c>
      <c r="D509" s="991"/>
      <c r="E509" s="990">
        <v>465729</v>
      </c>
      <c r="F509" s="1277"/>
      <c r="G509" s="115">
        <v>465729</v>
      </c>
      <c r="H509" s="287">
        <v>142571.52</v>
      </c>
      <c r="I509" s="288">
        <v>142571.52</v>
      </c>
      <c r="J509" s="288">
        <v>15841.28</v>
      </c>
      <c r="K509" s="285">
        <v>15841.28</v>
      </c>
      <c r="L509" s="790"/>
      <c r="M509" s="924"/>
      <c r="N509" s="1161"/>
      <c r="O509" s="1036"/>
      <c r="P509" s="1036"/>
      <c r="Q509" s="537"/>
      <c r="R509" s="538">
        <f>E509</f>
        <v>465729</v>
      </c>
      <c r="S509" s="921"/>
      <c r="T509" s="1353"/>
      <c r="U509" s="90"/>
    </row>
    <row r="510" spans="1:21" ht="17.25" customHeight="1" thickBot="1">
      <c r="A510" s="1134"/>
      <c r="B510" s="1134"/>
      <c r="C510" s="982"/>
      <c r="D510" s="983"/>
      <c r="E510" s="992"/>
      <c r="F510" s="1278"/>
      <c r="G510" s="115"/>
      <c r="H510" s="287">
        <v>5313.75</v>
      </c>
      <c r="I510" s="288">
        <v>5313.75</v>
      </c>
      <c r="J510" s="288">
        <v>590.43</v>
      </c>
      <c r="K510" s="285">
        <v>590.42</v>
      </c>
      <c r="L510" s="790"/>
      <c r="M510" s="924"/>
      <c r="N510" s="1161"/>
      <c r="O510" s="1036"/>
      <c r="P510" s="1036"/>
      <c r="Q510" s="537"/>
      <c r="R510" s="538"/>
      <c r="S510" s="921"/>
      <c r="T510" s="1353"/>
      <c r="U510" s="90"/>
    </row>
    <row r="511" spans="1:21" ht="17.25" customHeight="1">
      <c r="A511" s="1134"/>
      <c r="B511" s="1134"/>
      <c r="C511" s="359"/>
      <c r="D511" s="532"/>
      <c r="E511" s="992"/>
      <c r="F511" s="1278"/>
      <c r="G511" s="115"/>
      <c r="H511" s="287">
        <f>IP_čerapanie!H563</f>
        <v>8549.64</v>
      </c>
      <c r="I511" s="288">
        <f>IP_čerapanie!I563</f>
        <v>8549.64</v>
      </c>
      <c r="J511" s="288">
        <f>IP_čerapanie!J563</f>
        <v>949.96</v>
      </c>
      <c r="K511" s="285">
        <f>IP_čerapanie!K563</f>
        <v>949.96</v>
      </c>
      <c r="L511" s="790"/>
      <c r="M511" s="924"/>
      <c r="N511" s="1161"/>
      <c r="O511" s="1036"/>
      <c r="P511" s="1036"/>
      <c r="Q511" s="537"/>
      <c r="R511" s="538"/>
      <c r="S511" s="921"/>
      <c r="T511" s="1353"/>
      <c r="U511" s="90"/>
    </row>
    <row r="512" spans="1:21" ht="19.5" customHeight="1">
      <c r="A512" s="1134"/>
      <c r="B512" s="1134"/>
      <c r="C512" s="359"/>
      <c r="D512" s="532"/>
      <c r="E512" s="992"/>
      <c r="F512" s="1278"/>
      <c r="G512" s="115"/>
      <c r="H512" s="287">
        <v>7890.72</v>
      </c>
      <c r="I512" s="288">
        <v>7890.72</v>
      </c>
      <c r="J512" s="288">
        <v>876.76</v>
      </c>
      <c r="K512" s="285">
        <v>876.75</v>
      </c>
      <c r="L512" s="790"/>
      <c r="M512" s="924"/>
      <c r="N512" s="1161"/>
      <c r="O512" s="1036"/>
      <c r="P512" s="1036"/>
      <c r="Q512" s="537"/>
      <c r="R512" s="538"/>
      <c r="S512" s="921"/>
      <c r="T512" s="1363"/>
      <c r="U512" s="90"/>
    </row>
    <row r="513" spans="1:21" ht="19.5" customHeight="1">
      <c r="A513" s="1134"/>
      <c r="B513" s="1134"/>
      <c r="C513" s="359"/>
      <c r="D513" s="532"/>
      <c r="E513" s="992"/>
      <c r="F513" s="1278"/>
      <c r="G513" s="115"/>
      <c r="H513" s="287">
        <v>4756.95</v>
      </c>
      <c r="I513" s="288">
        <v>4756.95</v>
      </c>
      <c r="J513" s="288">
        <v>528.55</v>
      </c>
      <c r="K513" s="285">
        <v>528.55</v>
      </c>
      <c r="L513" s="790"/>
      <c r="M513" s="924"/>
      <c r="N513" s="1161"/>
      <c r="O513" s="1036"/>
      <c r="P513" s="1036"/>
      <c r="Q513" s="537"/>
      <c r="R513" s="538"/>
      <c r="S513" s="921"/>
      <c r="T513" s="587"/>
      <c r="U513" s="90"/>
    </row>
    <row r="514" spans="1:21" ht="19.5" customHeight="1" thickBot="1">
      <c r="A514" s="1134"/>
      <c r="B514" s="1134"/>
      <c r="C514" s="354"/>
      <c r="D514" s="354"/>
      <c r="E514" s="992"/>
      <c r="F514" s="1278"/>
      <c r="G514" s="115"/>
      <c r="H514" s="287">
        <v>5141.08</v>
      </c>
      <c r="I514" s="288">
        <v>5141.08</v>
      </c>
      <c r="J514" s="288">
        <v>571.24</v>
      </c>
      <c r="K514" s="285">
        <v>571.23</v>
      </c>
      <c r="L514" s="790"/>
      <c r="M514" s="924"/>
      <c r="N514" s="1161"/>
      <c r="O514" s="1036"/>
      <c r="P514" s="1036"/>
      <c r="Q514" s="537"/>
      <c r="R514" s="538"/>
      <c r="S514" s="921"/>
      <c r="T514" s="587"/>
      <c r="U514" s="90"/>
    </row>
    <row r="515" spans="1:20" ht="15" customHeight="1">
      <c r="A515" s="1134"/>
      <c r="B515" s="1134"/>
      <c r="C515" s="354"/>
      <c r="D515" s="354"/>
      <c r="E515" s="992"/>
      <c r="F515" s="1278"/>
      <c r="G515" s="115"/>
      <c r="H515" s="287">
        <v>11498.97</v>
      </c>
      <c r="I515" s="288">
        <v>11498.97</v>
      </c>
      <c r="J515" s="288">
        <v>1277.66</v>
      </c>
      <c r="K515" s="437">
        <v>1277.66</v>
      </c>
      <c r="L515" s="790"/>
      <c r="M515" s="924"/>
      <c r="N515" s="1161"/>
      <c r="O515" s="1036"/>
      <c r="P515" s="1036"/>
      <c r="Q515" s="537"/>
      <c r="R515" s="538"/>
      <c r="S515" s="921"/>
      <c r="T515" s="1352">
        <f>(E537-N537)/E537*100/9</f>
        <v>0.4419460195199185</v>
      </c>
    </row>
    <row r="516" spans="1:20" ht="15" customHeight="1">
      <c r="A516" s="1134"/>
      <c r="B516" s="1134"/>
      <c r="C516" s="354"/>
      <c r="D516" s="354"/>
      <c r="E516" s="992"/>
      <c r="F516" s="1278"/>
      <c r="G516" s="115"/>
      <c r="H516" s="287">
        <v>5361.29</v>
      </c>
      <c r="I516" s="288">
        <v>5361.29</v>
      </c>
      <c r="J516" s="288">
        <v>595.7</v>
      </c>
      <c r="K516" s="437">
        <v>595.7</v>
      </c>
      <c r="L516" s="790"/>
      <c r="M516" s="924"/>
      <c r="N516" s="1161"/>
      <c r="O516" s="1036"/>
      <c r="P516" s="1036"/>
      <c r="Q516" s="537"/>
      <c r="R516" s="538"/>
      <c r="S516" s="921"/>
      <c r="T516" s="1353"/>
    </row>
    <row r="517" spans="1:20" ht="15" customHeight="1" thickBot="1">
      <c r="A517" s="1090"/>
      <c r="B517" s="1090"/>
      <c r="C517" s="354"/>
      <c r="D517" s="354"/>
      <c r="E517" s="982"/>
      <c r="F517" s="1279"/>
      <c r="G517" s="115"/>
      <c r="H517" s="710">
        <v>5916.96</v>
      </c>
      <c r="I517" s="711">
        <v>5916.96</v>
      </c>
      <c r="J517" s="711">
        <v>657.45</v>
      </c>
      <c r="K517" s="591">
        <v>657.48</v>
      </c>
      <c r="L517" s="766"/>
      <c r="M517" s="927"/>
      <c r="N517" s="1126"/>
      <c r="O517" s="1027"/>
      <c r="P517" s="1027"/>
      <c r="Q517" s="537"/>
      <c r="R517" s="538"/>
      <c r="S517" s="922"/>
      <c r="T517" s="1353"/>
    </row>
    <row r="518" spans="1:20" ht="15" customHeight="1">
      <c r="A518" s="1133" t="s">
        <v>223</v>
      </c>
      <c r="B518" s="1133" t="s">
        <v>224</v>
      </c>
      <c r="C518" s="265">
        <f>407013+407012</f>
        <v>814025</v>
      </c>
      <c r="D518" s="267">
        <f>71826*2</f>
        <v>143652</v>
      </c>
      <c r="E518" s="312">
        <v>814025</v>
      </c>
      <c r="F518" s="267">
        <v>143652</v>
      </c>
      <c r="G518" s="317">
        <v>957677</v>
      </c>
      <c r="H518" s="312">
        <v>36517.73</v>
      </c>
      <c r="I518" s="266">
        <v>36517.73</v>
      </c>
      <c r="J518" s="317">
        <v>6444.32</v>
      </c>
      <c r="K518" s="267">
        <v>6444.31</v>
      </c>
      <c r="L518" s="789">
        <f>SUM(H518:K525)</f>
        <v>909793.1499999998</v>
      </c>
      <c r="M518" s="923">
        <f>L518/E519*100</f>
        <v>94.99999999999997</v>
      </c>
      <c r="N518" s="1160">
        <f>507122+126593+37366*2+26247+26248</f>
        <v>760942</v>
      </c>
      <c r="O518" s="1035">
        <f>N518/E518*100</f>
        <v>93.47894720678111</v>
      </c>
      <c r="P518" s="1035">
        <f>633715+37366*2</f>
        <v>708447</v>
      </c>
      <c r="Q518" s="317"/>
      <c r="R518" s="431">
        <f>E518+F518</f>
        <v>957677</v>
      </c>
      <c r="S518" s="1035">
        <f>P518/E518*100</f>
        <v>87.0301280673198</v>
      </c>
      <c r="T518" s="1353"/>
    </row>
    <row r="519" spans="1:20" ht="15" customHeight="1" thickBot="1">
      <c r="A519" s="1134"/>
      <c r="B519" s="1134"/>
      <c r="C519" s="1119">
        <f>C518+D518</f>
        <v>957677</v>
      </c>
      <c r="D519" s="1120"/>
      <c r="E519" s="1119">
        <v>957677</v>
      </c>
      <c r="F519" s="1120"/>
      <c r="G519" s="425">
        <v>957677</v>
      </c>
      <c r="H519" s="398">
        <v>80089.01</v>
      </c>
      <c r="I519" s="288">
        <v>80089.01</v>
      </c>
      <c r="J519" s="432">
        <v>14133.36</v>
      </c>
      <c r="K519" s="285">
        <v>14133.36</v>
      </c>
      <c r="L519" s="790"/>
      <c r="M519" s="924"/>
      <c r="N519" s="1161"/>
      <c r="O519" s="1036"/>
      <c r="P519" s="1036"/>
      <c r="Q519" s="294"/>
      <c r="R519" s="431">
        <f>E519</f>
        <v>957677</v>
      </c>
      <c r="S519" s="1036"/>
      <c r="T519" s="1353"/>
    </row>
    <row r="520" spans="1:20" ht="15" customHeight="1" thickBot="1">
      <c r="A520" s="1134"/>
      <c r="B520" s="1134"/>
      <c r="C520" s="1267"/>
      <c r="D520" s="1268"/>
      <c r="E520" s="1121"/>
      <c r="F520" s="1122"/>
      <c r="G520" s="421"/>
      <c r="H520" s="398">
        <v>136954.75</v>
      </c>
      <c r="I520" s="288">
        <v>136954.75</v>
      </c>
      <c r="J520" s="432">
        <v>24168.48</v>
      </c>
      <c r="K520" s="285">
        <v>24168.48</v>
      </c>
      <c r="L520" s="790"/>
      <c r="M520" s="924"/>
      <c r="N520" s="1161"/>
      <c r="O520" s="1036"/>
      <c r="P520" s="1036"/>
      <c r="Q520" s="354"/>
      <c r="R520" s="431"/>
      <c r="S520" s="1036"/>
      <c r="T520" s="1353"/>
    </row>
    <row r="521" spans="1:20" ht="15" customHeight="1">
      <c r="A521" s="1134"/>
      <c r="B521" s="1134"/>
      <c r="C521" s="582"/>
      <c r="D521" s="664"/>
      <c r="E521" s="1121"/>
      <c r="F521" s="1122"/>
      <c r="G521" s="63"/>
      <c r="H521" s="398">
        <v>63296.2</v>
      </c>
      <c r="I521" s="288">
        <v>63296.2</v>
      </c>
      <c r="J521" s="432">
        <v>11169.93</v>
      </c>
      <c r="K521" s="285">
        <v>11169.92</v>
      </c>
      <c r="L521" s="790"/>
      <c r="M521" s="924"/>
      <c r="N521" s="1161"/>
      <c r="O521" s="1036"/>
      <c r="P521" s="1036"/>
      <c r="Q521" s="354"/>
      <c r="R521" s="431"/>
      <c r="S521" s="1036"/>
      <c r="T521" s="1353"/>
    </row>
    <row r="522" spans="1:20" ht="15" customHeight="1">
      <c r="A522" s="1134"/>
      <c r="B522" s="1134"/>
      <c r="C522" s="582"/>
      <c r="D522" s="664"/>
      <c r="E522" s="1121"/>
      <c r="F522" s="1122"/>
      <c r="G522" s="63"/>
      <c r="H522" s="398">
        <v>37366</v>
      </c>
      <c r="I522" s="288">
        <v>37366</v>
      </c>
      <c r="J522" s="432">
        <v>6594</v>
      </c>
      <c r="K522" s="285">
        <v>6594</v>
      </c>
      <c r="L522" s="790"/>
      <c r="M522" s="924"/>
      <c r="N522" s="1161"/>
      <c r="O522" s="1036"/>
      <c r="P522" s="1036"/>
      <c r="Q522" s="354"/>
      <c r="R522" s="431"/>
      <c r="S522" s="1036"/>
      <c r="T522" s="1353"/>
    </row>
    <row r="523" spans="1:21" ht="15" customHeight="1">
      <c r="A523" s="1134"/>
      <c r="B523" s="1134"/>
      <c r="C523" s="582"/>
      <c r="D523" s="664"/>
      <c r="E523" s="1121"/>
      <c r="F523" s="1122"/>
      <c r="G523" s="63"/>
      <c r="H523" s="398">
        <v>25100.08</v>
      </c>
      <c r="I523" s="399">
        <v>25100.08</v>
      </c>
      <c r="J523" s="288">
        <v>4429.44</v>
      </c>
      <c r="K523" s="285">
        <v>4429.43</v>
      </c>
      <c r="L523" s="790"/>
      <c r="M523" s="924"/>
      <c r="N523" s="1161"/>
      <c r="O523" s="1036"/>
      <c r="P523" s="1036"/>
      <c r="Q523" s="354"/>
      <c r="R523" s="431"/>
      <c r="S523" s="1036"/>
      <c r="T523" s="1353"/>
      <c r="U523" s="1"/>
    </row>
    <row r="524" spans="1:21" ht="15" customHeight="1">
      <c r="A524" s="1134"/>
      <c r="B524" s="1134"/>
      <c r="C524" s="582"/>
      <c r="D524" s="664"/>
      <c r="E524" s="1121"/>
      <c r="F524" s="1122"/>
      <c r="G524" s="63"/>
      <c r="H524" s="398">
        <v>720.37</v>
      </c>
      <c r="I524" s="399">
        <v>720.37</v>
      </c>
      <c r="J524" s="288">
        <v>127.13</v>
      </c>
      <c r="K524" s="285">
        <v>127.13</v>
      </c>
      <c r="L524" s="790"/>
      <c r="M524" s="924"/>
      <c r="N524" s="1161"/>
      <c r="O524" s="1036"/>
      <c r="P524" s="1036"/>
      <c r="Q524" s="354"/>
      <c r="R524" s="431"/>
      <c r="S524" s="1036"/>
      <c r="T524" s="1353"/>
      <c r="U524" s="1"/>
    </row>
    <row r="525" spans="1:21" ht="15" customHeight="1" thickBot="1">
      <c r="A525" s="1128"/>
      <c r="B525" s="1128"/>
      <c r="C525" s="582"/>
      <c r="D525" s="584"/>
      <c r="E525" s="1146"/>
      <c r="F525" s="1147"/>
      <c r="G525" s="63"/>
      <c r="H525" s="359">
        <v>6618.21</v>
      </c>
      <c r="I525" s="355">
        <v>6617.26</v>
      </c>
      <c r="J525" s="283">
        <v>1168.04</v>
      </c>
      <c r="K525" s="284">
        <v>1168.07</v>
      </c>
      <c r="L525" s="1157"/>
      <c r="M525" s="1157"/>
      <c r="N525" s="1132"/>
      <c r="O525" s="1157"/>
      <c r="P525" s="1157"/>
      <c r="Q525" s="354"/>
      <c r="R525" s="431"/>
      <c r="S525" s="1157"/>
      <c r="T525" s="1353"/>
      <c r="U525" s="1"/>
    </row>
    <row r="526" spans="1:21" ht="15" customHeight="1">
      <c r="A526" s="1133" t="s">
        <v>214</v>
      </c>
      <c r="B526" s="1133" t="s">
        <v>213</v>
      </c>
      <c r="C526" s="310">
        <f>288484+288483</f>
        <v>576967</v>
      </c>
      <c r="D526" s="415">
        <v>0</v>
      </c>
      <c r="E526" s="46">
        <v>576967</v>
      </c>
      <c r="F526" s="20">
        <v>0</v>
      </c>
      <c r="G526" s="38">
        <v>576967</v>
      </c>
      <c r="H526" s="25">
        <v>10209.35</v>
      </c>
      <c r="I526" s="19">
        <v>10205.2</v>
      </c>
      <c r="J526" s="19">
        <v>0</v>
      </c>
      <c r="K526" s="20">
        <v>0</v>
      </c>
      <c r="L526" s="789">
        <f>SUM(H526:K529)</f>
        <v>541529.97</v>
      </c>
      <c r="M526" s="923">
        <f>L526/E527*100</f>
        <v>93.85804907386384</v>
      </c>
      <c r="N526" s="1160">
        <f>482932+58599</f>
        <v>541531</v>
      </c>
      <c r="O526" s="1035">
        <f>N526/E526*100</f>
        <v>93.85822759360587</v>
      </c>
      <c r="P526" s="1035">
        <f>482932+29299+29300</f>
        <v>541531</v>
      </c>
      <c r="Q526" s="315"/>
      <c r="R526" s="363">
        <f>E526+F526</f>
        <v>576967</v>
      </c>
      <c r="S526" s="923">
        <f>P526/E526*100</f>
        <v>93.85822759360587</v>
      </c>
      <c r="T526" s="1353"/>
      <c r="U526" s="1"/>
    </row>
    <row r="527" spans="1:21" ht="15" customHeight="1" thickBot="1">
      <c r="A527" s="1134"/>
      <c r="B527" s="1134"/>
      <c r="C527" s="1024">
        <f>C526+D526</f>
        <v>576967</v>
      </c>
      <c r="D527" s="1025"/>
      <c r="E527" s="1119">
        <v>576967</v>
      </c>
      <c r="F527" s="1120"/>
      <c r="G527" s="362">
        <v>576967</v>
      </c>
      <c r="H527" s="34">
        <v>161663.52</v>
      </c>
      <c r="I527" s="33">
        <v>161597.86</v>
      </c>
      <c r="J527" s="33">
        <v>0</v>
      </c>
      <c r="K527" s="35">
        <v>0</v>
      </c>
      <c r="L527" s="790"/>
      <c r="M527" s="924"/>
      <c r="N527" s="1161"/>
      <c r="O527" s="1036"/>
      <c r="P527" s="1036"/>
      <c r="Q527" s="315"/>
      <c r="R527" s="363">
        <f>E527</f>
        <v>576967</v>
      </c>
      <c r="S527" s="924"/>
      <c r="T527" s="1353"/>
      <c r="U527" s="1"/>
    </row>
    <row r="528" spans="1:21" ht="15" customHeight="1">
      <c r="A528" s="1134"/>
      <c r="B528" s="1134"/>
      <c r="C528" s="359"/>
      <c r="D528" s="354"/>
      <c r="E528" s="1121"/>
      <c r="F528" s="1122"/>
      <c r="G528" s="362"/>
      <c r="H528" s="34">
        <v>43060.27</v>
      </c>
      <c r="I528" s="33">
        <v>43042.77</v>
      </c>
      <c r="J528" s="33">
        <v>0</v>
      </c>
      <c r="K528" s="35">
        <v>0</v>
      </c>
      <c r="L528" s="790"/>
      <c r="M528" s="924"/>
      <c r="N528" s="1161"/>
      <c r="O528" s="1036"/>
      <c r="P528" s="1036"/>
      <c r="Q528" s="315"/>
      <c r="R528" s="363"/>
      <c r="S528" s="924"/>
      <c r="T528" s="1353"/>
      <c r="U528" s="1"/>
    </row>
    <row r="529" spans="1:21" ht="15" customHeight="1" thickBot="1">
      <c r="A529" s="1128"/>
      <c r="B529" s="1128"/>
      <c r="C529" s="354"/>
      <c r="D529" s="354"/>
      <c r="E529" s="1146"/>
      <c r="F529" s="1147"/>
      <c r="G529" s="362"/>
      <c r="H529" s="30">
        <v>55886.85</v>
      </c>
      <c r="I529" s="31">
        <v>55864.15</v>
      </c>
      <c r="J529" s="31">
        <v>0</v>
      </c>
      <c r="K529" s="29">
        <v>0</v>
      </c>
      <c r="L529" s="1157"/>
      <c r="M529" s="1157"/>
      <c r="N529" s="1132"/>
      <c r="O529" s="925"/>
      <c r="P529" s="925"/>
      <c r="Q529" s="315"/>
      <c r="R529" s="363"/>
      <c r="S529" s="925"/>
      <c r="T529" s="1353"/>
      <c r="U529" s="1"/>
    </row>
    <row r="530" spans="1:21" ht="15" customHeight="1">
      <c r="A530" s="1133" t="s">
        <v>225</v>
      </c>
      <c r="B530" s="1097" t="s">
        <v>226</v>
      </c>
      <c r="C530" s="265">
        <f>344138+344138</f>
        <v>688276</v>
      </c>
      <c r="D530" s="313">
        <f>60730.5*2</f>
        <v>121461</v>
      </c>
      <c r="E530" s="265">
        <v>688276</v>
      </c>
      <c r="F530" s="267">
        <v>121461</v>
      </c>
      <c r="G530" s="317">
        <v>809737</v>
      </c>
      <c r="H530" s="265">
        <v>947.63</v>
      </c>
      <c r="I530" s="266">
        <v>947.63</v>
      </c>
      <c r="J530" s="266">
        <v>167.23</v>
      </c>
      <c r="K530" s="267">
        <v>167.23</v>
      </c>
      <c r="L530" s="789">
        <f>SUM(H530:K536)</f>
        <v>765813.6399999999</v>
      </c>
      <c r="M530" s="923">
        <f>L530/E531*100</f>
        <v>94.57560170771497</v>
      </c>
      <c r="N530" s="1160">
        <f>948+947+3097*2+225671*2+75512+75511+20244+20243</f>
        <v>650941</v>
      </c>
      <c r="O530" s="1035">
        <f>N530/E530*100</f>
        <v>94.57557723936327</v>
      </c>
      <c r="P530" s="1035">
        <f>948+947+3097+3097+225671*2+75511+75512</f>
        <v>610454</v>
      </c>
      <c r="Q530" s="742"/>
      <c r="R530" s="611">
        <f>E530+F530</f>
        <v>809737</v>
      </c>
      <c r="S530" s="920">
        <f>P530/E530*100</f>
        <v>88.69319865867762</v>
      </c>
      <c r="T530" s="1353"/>
      <c r="U530" s="1"/>
    </row>
    <row r="531" spans="1:21" ht="15" customHeight="1">
      <c r="A531" s="1134"/>
      <c r="B531" s="1059"/>
      <c r="C531" s="1119">
        <f>C530+D530</f>
        <v>809737</v>
      </c>
      <c r="D531" s="1065"/>
      <c r="E531" s="990">
        <v>809737</v>
      </c>
      <c r="F531" s="991"/>
      <c r="G531" s="1398">
        <v>809737</v>
      </c>
      <c r="H531" s="287">
        <v>58764.92</v>
      </c>
      <c r="I531" s="288">
        <v>58764.92</v>
      </c>
      <c r="J531" s="288">
        <v>10370.28</v>
      </c>
      <c r="K531" s="285">
        <v>10370.28</v>
      </c>
      <c r="L531" s="790"/>
      <c r="M531" s="924"/>
      <c r="N531" s="1161"/>
      <c r="O531" s="1036"/>
      <c r="P531" s="1036"/>
      <c r="Q531" s="743"/>
      <c r="R531" s="680"/>
      <c r="S531" s="921"/>
      <c r="T531" s="1353"/>
      <c r="U531" s="1"/>
    </row>
    <row r="532" spans="1:21" ht="15" customHeight="1" thickBot="1">
      <c r="A532" s="1134"/>
      <c r="B532" s="1059"/>
      <c r="C532" s="1414"/>
      <c r="D532" s="1460"/>
      <c r="E532" s="992"/>
      <c r="F532" s="993"/>
      <c r="G532" s="1399"/>
      <c r="H532" s="287">
        <v>115389.96</v>
      </c>
      <c r="I532" s="288">
        <v>115389.96</v>
      </c>
      <c r="J532" s="288">
        <v>20362.94</v>
      </c>
      <c r="K532" s="285">
        <v>20362.94</v>
      </c>
      <c r="L532" s="790"/>
      <c r="M532" s="924"/>
      <c r="N532" s="1161"/>
      <c r="O532" s="1036"/>
      <c r="P532" s="1036"/>
      <c r="Q532" s="743"/>
      <c r="R532" s="680">
        <f>E531</f>
        <v>809737</v>
      </c>
      <c r="S532" s="921"/>
      <c r="T532" s="1353"/>
      <c r="U532" s="1"/>
    </row>
    <row r="533" spans="1:21" ht="15" customHeight="1">
      <c r="A533" s="1134"/>
      <c r="B533" s="1059"/>
      <c r="C533" s="584"/>
      <c r="D533" s="584"/>
      <c r="E533" s="992"/>
      <c r="F533" s="993"/>
      <c r="G533" s="63"/>
      <c r="H533" s="287">
        <v>50866.8</v>
      </c>
      <c r="I533" s="288">
        <v>50866.8</v>
      </c>
      <c r="J533" s="288">
        <v>8976.5</v>
      </c>
      <c r="K533" s="437">
        <v>8976.5</v>
      </c>
      <c r="L533" s="790"/>
      <c r="M533" s="924"/>
      <c r="N533" s="1161"/>
      <c r="O533" s="1036"/>
      <c r="P533" s="1036"/>
      <c r="Q533" s="743"/>
      <c r="R533" s="680"/>
      <c r="S533" s="921"/>
      <c r="T533" s="1353"/>
      <c r="U533" s="1"/>
    </row>
    <row r="534" spans="1:21" ht="16.5" customHeight="1">
      <c r="A534" s="1134"/>
      <c r="B534" s="1059"/>
      <c r="C534" s="584"/>
      <c r="D534" s="584"/>
      <c r="E534" s="992"/>
      <c r="F534" s="993"/>
      <c r="G534" s="63"/>
      <c r="H534" s="287">
        <f>IP_čerapanie!H378</f>
        <v>3096.71</v>
      </c>
      <c r="I534" s="288">
        <f>IP_čerapanie!I378</f>
        <v>3096.71</v>
      </c>
      <c r="J534" s="288">
        <f>IP_čerapanie!J378</f>
        <v>546.49</v>
      </c>
      <c r="K534" s="437">
        <f>IP_čerapanie!K378</f>
        <v>546.48</v>
      </c>
      <c r="L534" s="790"/>
      <c r="M534" s="924"/>
      <c r="N534" s="1161"/>
      <c r="O534" s="1036"/>
      <c r="P534" s="1036"/>
      <c r="Q534" s="743"/>
      <c r="R534" s="680"/>
      <c r="S534" s="921"/>
      <c r="T534" s="1353"/>
      <c r="U534" s="1"/>
    </row>
    <row r="535" spans="1:21" ht="16.5" customHeight="1" thickBot="1">
      <c r="A535" s="1134"/>
      <c r="B535" s="1059"/>
      <c r="C535" s="744"/>
      <c r="D535" s="744"/>
      <c r="E535" s="992"/>
      <c r="F535" s="993"/>
      <c r="G535" s="421"/>
      <c r="H535" s="287">
        <v>95755.49</v>
      </c>
      <c r="I535" s="288">
        <v>95755.49</v>
      </c>
      <c r="J535" s="288">
        <v>16898.03</v>
      </c>
      <c r="K535" s="437">
        <v>16898.03</v>
      </c>
      <c r="L535" s="790"/>
      <c r="M535" s="924"/>
      <c r="N535" s="1161"/>
      <c r="O535" s="1036"/>
      <c r="P535" s="1036"/>
      <c r="Q535" s="745"/>
      <c r="R535" s="612"/>
      <c r="S535" s="921"/>
      <c r="T535" s="1353"/>
      <c r="U535" s="1"/>
    </row>
    <row r="536" spans="1:21" ht="16.5" customHeight="1" thickBot="1">
      <c r="A536" s="1090"/>
      <c r="B536" s="1060"/>
      <c r="C536" s="584"/>
      <c r="D536" s="584"/>
      <c r="E536" s="982"/>
      <c r="F536" s="983"/>
      <c r="G536" s="63"/>
      <c r="H536" s="282">
        <v>649.26</v>
      </c>
      <c r="I536" s="283">
        <v>649.26</v>
      </c>
      <c r="J536" s="283">
        <v>114.59</v>
      </c>
      <c r="K536" s="354">
        <v>114.58</v>
      </c>
      <c r="L536" s="766"/>
      <c r="M536" s="927"/>
      <c r="N536" s="1126"/>
      <c r="O536" s="1027"/>
      <c r="P536" s="1027"/>
      <c r="Q536" s="743"/>
      <c r="R536" s="680"/>
      <c r="S536" s="922"/>
      <c r="T536" s="1354"/>
      <c r="U536" s="1"/>
    </row>
    <row r="537" spans="1:21" ht="16.5" customHeight="1">
      <c r="A537" s="935" t="s">
        <v>33</v>
      </c>
      <c r="B537" s="935" t="s">
        <v>34</v>
      </c>
      <c r="C537" s="75">
        <v>438737</v>
      </c>
      <c r="D537" s="78">
        <v>77424</v>
      </c>
      <c r="E537" s="61">
        <f>242852.56*2</f>
        <v>485705.12</v>
      </c>
      <c r="F537" s="80">
        <f>42856.13*2</f>
        <v>85712.26</v>
      </c>
      <c r="G537" s="348">
        <v>571416.2355108544</v>
      </c>
      <c r="H537" s="322">
        <v>1790.64</v>
      </c>
      <c r="I537" s="334">
        <v>1790.64</v>
      </c>
      <c r="J537" s="323">
        <v>315.99</v>
      </c>
      <c r="K537" s="324">
        <v>315.99</v>
      </c>
      <c r="L537" s="1158">
        <f>SUM(H537:K562)</f>
        <v>566004.88</v>
      </c>
      <c r="M537" s="1160">
        <f>L537/E538*100</f>
        <v>99.05279394896948</v>
      </c>
      <c r="N537" s="1160">
        <f>432831.13+7747+12904*2</f>
        <v>466386.13</v>
      </c>
      <c r="O537" s="1035">
        <f>N537/E537*100</f>
        <v>96.02248582432074</v>
      </c>
      <c r="P537" s="1035">
        <v>412935.84</v>
      </c>
      <c r="Q537" s="1345">
        <f>P537/E537*100</f>
        <v>85.01780668896389</v>
      </c>
      <c r="R537" s="292">
        <f>E537+F537</f>
        <v>571417.38</v>
      </c>
      <c r="S537" s="923">
        <f>P537/E537*100</f>
        <v>85.01780668896389</v>
      </c>
      <c r="T537" s="587"/>
      <c r="U537" s="1"/>
    </row>
    <row r="538" spans="1:21" ht="16.5" customHeight="1">
      <c r="A538" s="936"/>
      <c r="B538" s="936"/>
      <c r="C538" s="1129">
        <f>SUM(C537:D537)</f>
        <v>516161</v>
      </c>
      <c r="D538" s="1130"/>
      <c r="E538" s="1129">
        <v>571417.38</v>
      </c>
      <c r="F538" s="1130"/>
      <c r="G538" s="1091">
        <v>571416.2355108544</v>
      </c>
      <c r="H538" s="331">
        <v>5959.19</v>
      </c>
      <c r="I538" s="335">
        <v>5959.19</v>
      </c>
      <c r="J538" s="332">
        <v>1051.62</v>
      </c>
      <c r="K538" s="333">
        <v>1051.62</v>
      </c>
      <c r="L538" s="1159"/>
      <c r="M538" s="1161"/>
      <c r="N538" s="1161"/>
      <c r="O538" s="1036"/>
      <c r="P538" s="1036"/>
      <c r="Q538" s="1346"/>
      <c r="R538" s="292"/>
      <c r="S538" s="924"/>
      <c r="T538" s="587"/>
      <c r="U538" s="1"/>
    </row>
    <row r="539" spans="1:20" ht="16.5" customHeight="1" thickBot="1">
      <c r="A539" s="936"/>
      <c r="B539" s="936"/>
      <c r="C539" s="1131"/>
      <c r="D539" s="1118"/>
      <c r="E539" s="1131"/>
      <c r="F539" s="1118"/>
      <c r="G539" s="1092"/>
      <c r="H539" s="331">
        <v>17659.85</v>
      </c>
      <c r="I539" s="335">
        <v>17659.85</v>
      </c>
      <c r="J539" s="332">
        <v>3116.44</v>
      </c>
      <c r="K539" s="333">
        <v>3116.44</v>
      </c>
      <c r="L539" s="1159"/>
      <c r="M539" s="1161"/>
      <c r="N539" s="1161"/>
      <c r="O539" s="1036"/>
      <c r="P539" s="1036"/>
      <c r="Q539" s="1346"/>
      <c r="R539" s="292"/>
      <c r="S539" s="924"/>
      <c r="T539" s="587"/>
    </row>
    <row r="540" spans="1:21" ht="17.25" customHeight="1">
      <c r="A540" s="936"/>
      <c r="B540" s="936"/>
      <c r="C540" s="1131"/>
      <c r="D540" s="1118"/>
      <c r="E540" s="1131"/>
      <c r="F540" s="1118"/>
      <c r="G540" s="1092"/>
      <c r="H540" s="413">
        <v>19152.88</v>
      </c>
      <c r="I540" s="335">
        <v>19152.88</v>
      </c>
      <c r="J540" s="332">
        <v>3379.92</v>
      </c>
      <c r="K540" s="333">
        <v>3379.92</v>
      </c>
      <c r="L540" s="1159"/>
      <c r="M540" s="1161"/>
      <c r="N540" s="1161"/>
      <c r="O540" s="1036"/>
      <c r="P540" s="1036"/>
      <c r="Q540" s="1346"/>
      <c r="R540" s="292"/>
      <c r="S540" s="924"/>
      <c r="T540" s="1352">
        <f>(E445-N445)/E445*100/9</f>
        <v>1.0263030285292714</v>
      </c>
      <c r="U540" s="90"/>
    </row>
    <row r="541" spans="1:21" ht="17.25" customHeight="1">
      <c r="A541" s="936"/>
      <c r="B541" s="936"/>
      <c r="C541" s="1131"/>
      <c r="D541" s="1118"/>
      <c r="E541" s="1131"/>
      <c r="F541" s="1118"/>
      <c r="G541" s="1092"/>
      <c r="H541" s="344">
        <v>13378.93</v>
      </c>
      <c r="I541" s="337">
        <v>13378.93</v>
      </c>
      <c r="J541" s="336">
        <v>2360.99</v>
      </c>
      <c r="K541" s="343">
        <v>2360.99</v>
      </c>
      <c r="L541" s="1159"/>
      <c r="M541" s="1161"/>
      <c r="N541" s="1161"/>
      <c r="O541" s="1036"/>
      <c r="P541" s="1036"/>
      <c r="Q541" s="1346"/>
      <c r="R541" s="292"/>
      <c r="S541" s="924"/>
      <c r="T541" s="1353"/>
      <c r="U541" s="90"/>
    </row>
    <row r="542" spans="1:21" ht="17.25" customHeight="1">
      <c r="A542" s="936"/>
      <c r="B542" s="936"/>
      <c r="C542" s="1131"/>
      <c r="D542" s="1118"/>
      <c r="E542" s="1131"/>
      <c r="F542" s="1118"/>
      <c r="G542" s="1092"/>
      <c r="H542" s="413">
        <v>16507.22</v>
      </c>
      <c r="I542" s="335">
        <v>16507.22</v>
      </c>
      <c r="J542" s="332">
        <v>2913.04</v>
      </c>
      <c r="K542" s="333">
        <v>2913.04</v>
      </c>
      <c r="L542" s="1159"/>
      <c r="M542" s="1161"/>
      <c r="N542" s="1161"/>
      <c r="O542" s="1036"/>
      <c r="P542" s="1036"/>
      <c r="Q542" s="1346"/>
      <c r="R542" s="292"/>
      <c r="S542" s="924"/>
      <c r="T542" s="1353"/>
      <c r="U542" s="90"/>
    </row>
    <row r="543" spans="1:21" ht="17.25" customHeight="1" thickBot="1">
      <c r="A543" s="936"/>
      <c r="B543" s="936"/>
      <c r="C543" s="1131"/>
      <c r="D543" s="1118"/>
      <c r="E543" s="1131"/>
      <c r="F543" s="1118"/>
      <c r="G543" s="1092"/>
      <c r="H543" s="413">
        <v>15156.9</v>
      </c>
      <c r="I543" s="335">
        <v>15156.9</v>
      </c>
      <c r="J543" s="332">
        <v>2674.75</v>
      </c>
      <c r="K543" s="333">
        <v>2674.75</v>
      </c>
      <c r="L543" s="1159"/>
      <c r="M543" s="1161"/>
      <c r="N543" s="1161"/>
      <c r="O543" s="1036"/>
      <c r="P543" s="1036"/>
      <c r="Q543" s="1346"/>
      <c r="R543" s="292"/>
      <c r="S543" s="924"/>
      <c r="T543" s="1354"/>
      <c r="U543" s="90"/>
    </row>
    <row r="544" spans="1:21" s="93" customFormat="1" ht="18.75" customHeight="1">
      <c r="A544" s="936"/>
      <c r="B544" s="936"/>
      <c r="C544" s="1131"/>
      <c r="D544" s="1118"/>
      <c r="E544" s="1131"/>
      <c r="F544" s="1118"/>
      <c r="G544" s="1092"/>
      <c r="H544" s="413">
        <v>10052.66</v>
      </c>
      <c r="I544" s="335">
        <v>10052.66</v>
      </c>
      <c r="J544" s="332">
        <v>1774</v>
      </c>
      <c r="K544" s="333">
        <v>1774</v>
      </c>
      <c r="L544" s="1159"/>
      <c r="M544" s="1161"/>
      <c r="N544" s="1161"/>
      <c r="O544" s="1036"/>
      <c r="P544" s="1036"/>
      <c r="Q544" s="1346"/>
      <c r="R544" s="292"/>
      <c r="S544" s="924"/>
      <c r="T544" s="1359">
        <f>(C449/9)/C449*100</f>
        <v>11.111111111111112</v>
      </c>
      <c r="U544" s="363"/>
    </row>
    <row r="545" spans="1:21" s="93" customFormat="1" ht="21" customHeight="1">
      <c r="A545" s="936"/>
      <c r="B545" s="936"/>
      <c r="C545" s="1131"/>
      <c r="D545" s="1118"/>
      <c r="E545" s="1131"/>
      <c r="F545" s="1118"/>
      <c r="G545" s="1092"/>
      <c r="H545" s="413">
        <v>16681.53</v>
      </c>
      <c r="I545" s="335">
        <v>16681.53</v>
      </c>
      <c r="J545" s="332">
        <v>2943.8</v>
      </c>
      <c r="K545" s="333">
        <v>2943.8</v>
      </c>
      <c r="L545" s="1159"/>
      <c r="M545" s="1161"/>
      <c r="N545" s="1161"/>
      <c r="O545" s="1036"/>
      <c r="P545" s="1036"/>
      <c r="Q545" s="1346"/>
      <c r="R545" s="292"/>
      <c r="S545" s="924"/>
      <c r="T545" s="1360"/>
      <c r="U545" s="363"/>
    </row>
    <row r="546" spans="1:21" s="93" customFormat="1" ht="25.5" customHeight="1">
      <c r="A546" s="936"/>
      <c r="B546" s="936"/>
      <c r="C546" s="1131"/>
      <c r="D546" s="1118"/>
      <c r="E546" s="1131"/>
      <c r="F546" s="1118"/>
      <c r="G546" s="1092"/>
      <c r="H546" s="344">
        <v>12921.12</v>
      </c>
      <c r="I546" s="337">
        <v>12921.12</v>
      </c>
      <c r="J546" s="332">
        <v>2280.2</v>
      </c>
      <c r="K546" s="343">
        <v>2280.2</v>
      </c>
      <c r="L546" s="1159"/>
      <c r="M546" s="1161"/>
      <c r="N546" s="1161"/>
      <c r="O546" s="1036"/>
      <c r="P546" s="1036"/>
      <c r="Q546" s="1346"/>
      <c r="R546" s="292"/>
      <c r="S546" s="924"/>
      <c r="T546" s="1360"/>
      <c r="U546" s="363"/>
    </row>
    <row r="547" spans="1:21" s="93" customFormat="1" ht="25.5" customHeight="1">
      <c r="A547" s="936"/>
      <c r="B547" s="936"/>
      <c r="C547" s="1131"/>
      <c r="D547" s="1118"/>
      <c r="E547" s="1131"/>
      <c r="F547" s="1118"/>
      <c r="G547" s="1092"/>
      <c r="H547" s="344">
        <v>11523.9</v>
      </c>
      <c r="I547" s="337">
        <v>11523.9</v>
      </c>
      <c r="J547" s="332">
        <v>2033.63</v>
      </c>
      <c r="K547" s="343">
        <v>2033.63</v>
      </c>
      <c r="L547" s="1159"/>
      <c r="M547" s="1161"/>
      <c r="N547" s="1161"/>
      <c r="O547" s="1036"/>
      <c r="P547" s="1036"/>
      <c r="Q547" s="1346"/>
      <c r="R547" s="292"/>
      <c r="S547" s="924"/>
      <c r="T547" s="1360" t="e">
        <f>(C451/9)/C451*100</f>
        <v>#DIV/0!</v>
      </c>
      <c r="U547" s="363"/>
    </row>
    <row r="548" spans="1:21" s="93" customFormat="1" ht="25.5" customHeight="1" thickBot="1">
      <c r="A548" s="936"/>
      <c r="B548" s="936"/>
      <c r="C548" s="1131"/>
      <c r="D548" s="1118"/>
      <c r="E548" s="1131"/>
      <c r="F548" s="1118"/>
      <c r="G548" s="1092"/>
      <c r="H548" s="413">
        <v>5423.06</v>
      </c>
      <c r="I548" s="335">
        <v>5423.06</v>
      </c>
      <c r="J548" s="332">
        <v>957.01</v>
      </c>
      <c r="K548" s="333">
        <v>957.01</v>
      </c>
      <c r="L548" s="1159"/>
      <c r="M548" s="1161"/>
      <c r="N548" s="1161"/>
      <c r="O548" s="1036"/>
      <c r="P548" s="1036"/>
      <c r="Q548" s="1346"/>
      <c r="R548" s="292"/>
      <c r="S548" s="924"/>
      <c r="T548" s="1362"/>
      <c r="U548" s="363"/>
    </row>
    <row r="549" spans="1:21" s="93" customFormat="1" ht="25.5" customHeight="1">
      <c r="A549" s="936"/>
      <c r="B549" s="936"/>
      <c r="C549" s="1131"/>
      <c r="D549" s="1118"/>
      <c r="E549" s="1131"/>
      <c r="F549" s="1118"/>
      <c r="G549" s="1092"/>
      <c r="H549" s="413">
        <v>5462.11</v>
      </c>
      <c r="I549" s="335">
        <v>5462.11</v>
      </c>
      <c r="J549" s="332">
        <v>963.9</v>
      </c>
      <c r="K549" s="333">
        <v>963.9</v>
      </c>
      <c r="L549" s="1159"/>
      <c r="M549" s="1161"/>
      <c r="N549" s="1161"/>
      <c r="O549" s="1036"/>
      <c r="P549" s="1036"/>
      <c r="Q549" s="1346"/>
      <c r="R549" s="292"/>
      <c r="S549" s="924"/>
      <c r="T549" s="590"/>
      <c r="U549" s="363"/>
    </row>
    <row r="550" spans="1:21" s="93" customFormat="1" ht="25.5" customHeight="1">
      <c r="A550" s="936"/>
      <c r="B550" s="936"/>
      <c r="C550" s="1131"/>
      <c r="D550" s="1118"/>
      <c r="E550" s="1131"/>
      <c r="F550" s="1118"/>
      <c r="G550" s="1092"/>
      <c r="H550" s="413">
        <v>18680.25</v>
      </c>
      <c r="I550" s="335">
        <v>18680.25</v>
      </c>
      <c r="J550" s="332">
        <v>3296.51</v>
      </c>
      <c r="K550" s="333">
        <v>3296.51</v>
      </c>
      <c r="L550" s="1159"/>
      <c r="M550" s="1161"/>
      <c r="N550" s="1161"/>
      <c r="O550" s="1036"/>
      <c r="P550" s="1036"/>
      <c r="Q550" s="1346"/>
      <c r="R550" s="292"/>
      <c r="S550" s="924"/>
      <c r="T550" s="590"/>
      <c r="U550" s="363"/>
    </row>
    <row r="551" spans="1:21" s="93" customFormat="1" ht="25.5" customHeight="1">
      <c r="A551" s="936"/>
      <c r="B551" s="936"/>
      <c r="C551" s="1131"/>
      <c r="D551" s="1118"/>
      <c r="E551" s="1131"/>
      <c r="F551" s="1118"/>
      <c r="G551" s="1092"/>
      <c r="H551" s="413">
        <v>19419.08</v>
      </c>
      <c r="I551" s="335">
        <v>19419.08</v>
      </c>
      <c r="J551" s="332">
        <v>3426.9</v>
      </c>
      <c r="K551" s="333">
        <v>3426.9</v>
      </c>
      <c r="L551" s="1159"/>
      <c r="M551" s="1161"/>
      <c r="N551" s="1161"/>
      <c r="O551" s="1036"/>
      <c r="P551" s="1036"/>
      <c r="Q551" s="1346"/>
      <c r="R551" s="292"/>
      <c r="S551" s="924"/>
      <c r="T551" s="590"/>
      <c r="U551" s="363"/>
    </row>
    <row r="552" spans="1:21" s="93" customFormat="1" ht="25.5" customHeight="1">
      <c r="A552" s="936"/>
      <c r="B552" s="936"/>
      <c r="C552" s="1131"/>
      <c r="D552" s="1118"/>
      <c r="E552" s="1131"/>
      <c r="F552" s="1118"/>
      <c r="G552" s="1092"/>
      <c r="H552" s="413">
        <v>11193.96</v>
      </c>
      <c r="I552" s="335">
        <v>11193.96</v>
      </c>
      <c r="J552" s="332">
        <v>1975.42</v>
      </c>
      <c r="K552" s="333">
        <v>1975.41</v>
      </c>
      <c r="L552" s="1159"/>
      <c r="M552" s="1161"/>
      <c r="N552" s="1161"/>
      <c r="O552" s="1036"/>
      <c r="P552" s="1036"/>
      <c r="Q552" s="1346"/>
      <c r="R552" s="292"/>
      <c r="S552" s="924"/>
      <c r="T552" s="590"/>
      <c r="U552" s="363"/>
    </row>
    <row r="553" spans="1:21" s="93" customFormat="1" ht="25.5" customHeight="1">
      <c r="A553" s="936"/>
      <c r="B553" s="936"/>
      <c r="C553" s="1131"/>
      <c r="D553" s="1118"/>
      <c r="E553" s="1131"/>
      <c r="F553" s="1118"/>
      <c r="G553" s="1092"/>
      <c r="H553" s="413">
        <v>8305.11</v>
      </c>
      <c r="I553" s="335">
        <v>8305.11</v>
      </c>
      <c r="J553" s="332">
        <v>1465.61</v>
      </c>
      <c r="K553" s="333">
        <v>1465.61</v>
      </c>
      <c r="L553" s="1159"/>
      <c r="M553" s="1161"/>
      <c r="N553" s="1161"/>
      <c r="O553" s="1036"/>
      <c r="P553" s="1036"/>
      <c r="Q553" s="1346"/>
      <c r="R553" s="292"/>
      <c r="S553" s="924"/>
      <c r="T553" s="590"/>
      <c r="U553" s="363"/>
    </row>
    <row r="554" spans="1:21" s="93" customFormat="1" ht="25.5" customHeight="1" thickBot="1">
      <c r="A554" s="936"/>
      <c r="B554" s="936"/>
      <c r="C554" s="1131"/>
      <c r="D554" s="1118"/>
      <c r="E554" s="1131"/>
      <c r="F554" s="1118"/>
      <c r="G554" s="1092"/>
      <c r="H554" s="413">
        <v>2223.91</v>
      </c>
      <c r="I554" s="335">
        <v>2223.91</v>
      </c>
      <c r="J554" s="332">
        <v>392.46</v>
      </c>
      <c r="K554" s="414">
        <v>392.45</v>
      </c>
      <c r="L554" s="1159"/>
      <c r="M554" s="1161"/>
      <c r="N554" s="1161"/>
      <c r="O554" s="1036"/>
      <c r="P554" s="1036"/>
      <c r="Q554" s="1347"/>
      <c r="R554" s="292"/>
      <c r="S554" s="924"/>
      <c r="T554" s="590"/>
      <c r="U554" s="363"/>
    </row>
    <row r="555" spans="1:21" s="93" customFormat="1" ht="25.5" customHeight="1">
      <c r="A555" s="936"/>
      <c r="B555" s="936"/>
      <c r="C555" s="1131"/>
      <c r="D555" s="1118"/>
      <c r="E555" s="1131"/>
      <c r="F555" s="1118"/>
      <c r="G555" s="1092"/>
      <c r="H555" s="413">
        <v>1672.7</v>
      </c>
      <c r="I555" s="335">
        <v>1672.7</v>
      </c>
      <c r="J555" s="332">
        <v>295.19</v>
      </c>
      <c r="K555" s="414">
        <v>295.18</v>
      </c>
      <c r="L555" s="1159"/>
      <c r="M555" s="1161"/>
      <c r="N555" s="1161"/>
      <c r="O555" s="1036"/>
      <c r="P555" s="1036"/>
      <c r="Q555" s="314"/>
      <c r="R555" s="292"/>
      <c r="S555" s="924"/>
      <c r="T555" s="590"/>
      <c r="U555" s="363"/>
    </row>
    <row r="556" spans="1:21" s="93" customFormat="1" ht="25.5" customHeight="1">
      <c r="A556" s="936"/>
      <c r="B556" s="936"/>
      <c r="C556" s="1131"/>
      <c r="D556" s="1118"/>
      <c r="E556" s="1131"/>
      <c r="F556" s="1118"/>
      <c r="G556" s="1092"/>
      <c r="H556" s="413">
        <v>2975.58</v>
      </c>
      <c r="I556" s="335">
        <v>2975.58</v>
      </c>
      <c r="J556" s="332">
        <v>525.1</v>
      </c>
      <c r="K556" s="414">
        <v>525.1</v>
      </c>
      <c r="L556" s="1159"/>
      <c r="M556" s="1161"/>
      <c r="N556" s="1161"/>
      <c r="O556" s="1036"/>
      <c r="P556" s="1036"/>
      <c r="Q556" s="314"/>
      <c r="R556" s="292"/>
      <c r="S556" s="924"/>
      <c r="T556" s="590"/>
      <c r="U556" s="363"/>
    </row>
    <row r="557" spans="1:21" s="93" customFormat="1" ht="25.5" customHeight="1" thickBot="1">
      <c r="A557" s="936"/>
      <c r="B557" s="936"/>
      <c r="C557" s="1131"/>
      <c r="D557" s="1118"/>
      <c r="E557" s="1131"/>
      <c r="F557" s="1118"/>
      <c r="G557" s="1081"/>
      <c r="H557" s="413">
        <v>3443.92</v>
      </c>
      <c r="I557" s="335">
        <v>3443.92</v>
      </c>
      <c r="J557" s="332">
        <v>607.75</v>
      </c>
      <c r="K557" s="414">
        <v>607.75</v>
      </c>
      <c r="L557" s="1159"/>
      <c r="M557" s="1161"/>
      <c r="N557" s="1161"/>
      <c r="O557" s="1036"/>
      <c r="P557" s="1036"/>
      <c r="Q557" s="314"/>
      <c r="R557" s="292">
        <f>E538</f>
        <v>571417.38</v>
      </c>
      <c r="S557" s="924"/>
      <c r="T557" s="590"/>
      <c r="U557" s="363"/>
    </row>
    <row r="558" spans="1:21" s="93" customFormat="1" ht="25.5" customHeight="1">
      <c r="A558" s="936"/>
      <c r="B558" s="936"/>
      <c r="C558" s="1144"/>
      <c r="D558" s="1145"/>
      <c r="E558" s="1131"/>
      <c r="F558" s="1118"/>
      <c r="G558" s="391"/>
      <c r="H558" s="413">
        <v>2625</v>
      </c>
      <c r="I558" s="335">
        <v>2625</v>
      </c>
      <c r="J558" s="332">
        <v>463.23</v>
      </c>
      <c r="K558" s="414">
        <v>463.23</v>
      </c>
      <c r="L558" s="1159"/>
      <c r="M558" s="1161"/>
      <c r="N558" s="1161"/>
      <c r="O558" s="1036"/>
      <c r="P558" s="1036"/>
      <c r="Q558" s="314"/>
      <c r="R558" s="292"/>
      <c r="S558" s="924"/>
      <c r="T558" s="590"/>
      <c r="U558" s="363"/>
    </row>
    <row r="559" spans="1:21" s="93" customFormat="1" ht="25.5" customHeight="1">
      <c r="A559" s="936"/>
      <c r="B559" s="936"/>
      <c r="C559" s="579"/>
      <c r="D559" s="580"/>
      <c r="E559" s="1131"/>
      <c r="F559" s="1118"/>
      <c r="G559" s="391"/>
      <c r="H559" s="505">
        <v>1379.72</v>
      </c>
      <c r="I559" s="36">
        <v>1379.72</v>
      </c>
      <c r="J559" s="33">
        <v>243.48</v>
      </c>
      <c r="K559" s="43">
        <v>243.48</v>
      </c>
      <c r="L559" s="1159"/>
      <c r="M559" s="1161"/>
      <c r="N559" s="1161"/>
      <c r="O559" s="1036"/>
      <c r="P559" s="1036"/>
      <c r="Q559" s="314"/>
      <c r="R559" s="292"/>
      <c r="S559" s="924"/>
      <c r="T559" s="590"/>
      <c r="U559" s="363"/>
    </row>
    <row r="560" spans="1:21" s="93" customFormat="1" ht="25.5" customHeight="1" thickBot="1">
      <c r="A560" s="936"/>
      <c r="B560" s="936"/>
      <c r="C560" s="579"/>
      <c r="D560" s="609"/>
      <c r="E560" s="1144"/>
      <c r="F560" s="1145"/>
      <c r="G560" s="391"/>
      <c r="H560" s="505">
        <v>5215.17</v>
      </c>
      <c r="I560" s="36">
        <v>5215.17</v>
      </c>
      <c r="J560" s="33">
        <v>920.34</v>
      </c>
      <c r="K560" s="43">
        <v>920.33</v>
      </c>
      <c r="L560" s="1159"/>
      <c r="M560" s="1161"/>
      <c r="N560" s="1161"/>
      <c r="O560" s="1036"/>
      <c r="P560" s="1036"/>
      <c r="Q560" s="314"/>
      <c r="R560" s="292"/>
      <c r="S560" s="924"/>
      <c r="T560" s="590"/>
      <c r="U560" s="363"/>
    </row>
    <row r="561" spans="1:20" ht="17.25" customHeight="1">
      <c r="A561" s="1067"/>
      <c r="B561" s="1067"/>
      <c r="C561" s="579"/>
      <c r="D561" s="609"/>
      <c r="E561" s="1144"/>
      <c r="F561" s="1145"/>
      <c r="G561" s="391"/>
      <c r="H561" s="344">
        <v>1904.89</v>
      </c>
      <c r="I561" s="337">
        <v>1904.89</v>
      </c>
      <c r="J561" s="336">
        <v>336.16</v>
      </c>
      <c r="K561" s="713">
        <v>336.16</v>
      </c>
      <c r="L561" s="1127"/>
      <c r="M561" s="1127"/>
      <c r="N561" s="1156"/>
      <c r="O561" s="926"/>
      <c r="P561" s="926"/>
      <c r="Q561" s="314"/>
      <c r="R561" s="292"/>
      <c r="S561" s="926"/>
      <c r="T561" s="1352">
        <f>(E465-N465)/E465*100/9</f>
        <v>1.01607330703587</v>
      </c>
    </row>
    <row r="562" spans="1:20" ht="17.25" customHeight="1" thickBot="1">
      <c r="A562" s="1128"/>
      <c r="B562" s="1128"/>
      <c r="C562" s="579"/>
      <c r="D562" s="609"/>
      <c r="E562" s="1146"/>
      <c r="F562" s="1147"/>
      <c r="G562" s="391"/>
      <c r="H562" s="344">
        <v>9842.77</v>
      </c>
      <c r="I562" s="337">
        <v>9842.77</v>
      </c>
      <c r="J562" s="336">
        <v>1736.98</v>
      </c>
      <c r="K562" s="713">
        <v>1736.96</v>
      </c>
      <c r="L562" s="1157"/>
      <c r="M562" s="1157"/>
      <c r="N562" s="1157"/>
      <c r="O562" s="1157"/>
      <c r="P562" s="1157"/>
      <c r="Q562" s="314"/>
      <c r="R562" s="292"/>
      <c r="S562" s="1157"/>
      <c r="T562" s="1353"/>
    </row>
    <row r="563" spans="1:20" ht="17.25" customHeight="1">
      <c r="A563" s="1133" t="s">
        <v>245</v>
      </c>
      <c r="B563" s="1133" t="s">
        <v>244</v>
      </c>
      <c r="C563" s="265">
        <f>448865*2</f>
        <v>897730</v>
      </c>
      <c r="D563" s="267">
        <f>79211.5*2</f>
        <v>158423</v>
      </c>
      <c r="E563" s="426">
        <v>897730</v>
      </c>
      <c r="F563" s="289">
        <v>158423</v>
      </c>
      <c r="G563" s="427">
        <v>1056153</v>
      </c>
      <c r="H563" s="265">
        <v>262951.78</v>
      </c>
      <c r="I563" s="266">
        <v>262951.78</v>
      </c>
      <c r="J563" s="266">
        <v>46403.27</v>
      </c>
      <c r="K563" s="267">
        <v>46403.26</v>
      </c>
      <c r="L563" s="789">
        <f>SUM(H563:K566)</f>
        <v>1003345.35</v>
      </c>
      <c r="M563" s="923">
        <f>L563/E564*100</f>
        <v>95</v>
      </c>
      <c r="N563" s="1160">
        <v>867922</v>
      </c>
      <c r="O563" s="1035">
        <f>N563/E563*100</f>
        <v>96.67962527708777</v>
      </c>
      <c r="P563" s="1035">
        <f>742206+49329+49328</f>
        <v>840863</v>
      </c>
      <c r="Q563" s="537"/>
      <c r="R563" s="538">
        <f>E563+F563</f>
        <v>1056153</v>
      </c>
      <c r="S563" s="923">
        <f>P563/E563*100</f>
        <v>93.66546734541566</v>
      </c>
      <c r="T563" s="1353"/>
    </row>
    <row r="564" spans="1:20" ht="17.25" customHeight="1" thickBot="1">
      <c r="A564" s="1134"/>
      <c r="B564" s="1134"/>
      <c r="C564" s="1296">
        <f>C563+D563</f>
        <v>1056153</v>
      </c>
      <c r="D564" s="1297"/>
      <c r="E564" s="1119">
        <v>1056153</v>
      </c>
      <c r="F564" s="1120"/>
      <c r="G564" s="421">
        <v>1056153</v>
      </c>
      <c r="H564" s="287">
        <f>IP_čerapanie!H483</f>
        <v>36496.17</v>
      </c>
      <c r="I564" s="288">
        <f>IP_čerapanie!I483</f>
        <v>36496.17</v>
      </c>
      <c r="J564" s="288">
        <f>IP_čerapanie!J483</f>
        <v>6440.5</v>
      </c>
      <c r="K564" s="285">
        <f>IP_čerapanie!K483</f>
        <v>6440.5</v>
      </c>
      <c r="L564" s="790"/>
      <c r="M564" s="924"/>
      <c r="N564" s="1161"/>
      <c r="O564" s="1036"/>
      <c r="P564" s="1036"/>
      <c r="Q564" s="537"/>
      <c r="R564" s="538">
        <f>E564</f>
        <v>1056153</v>
      </c>
      <c r="S564" s="924"/>
      <c r="T564" s="1353"/>
    </row>
    <row r="565" spans="1:20" ht="17.25" customHeight="1">
      <c r="A565" s="1134"/>
      <c r="B565" s="1134"/>
      <c r="C565" s="282"/>
      <c r="D565" s="284"/>
      <c r="E565" s="1121"/>
      <c r="F565" s="1122"/>
      <c r="G565" s="63"/>
      <c r="H565" s="287">
        <v>71655.33</v>
      </c>
      <c r="I565" s="288">
        <v>71655.33</v>
      </c>
      <c r="J565" s="288">
        <v>12645.07</v>
      </c>
      <c r="K565" s="285">
        <v>12645.06</v>
      </c>
      <c r="L565" s="790"/>
      <c r="M565" s="924"/>
      <c r="N565" s="1161"/>
      <c r="O565" s="1036"/>
      <c r="P565" s="1036"/>
      <c r="Q565" s="537"/>
      <c r="R565" s="538"/>
      <c r="S565" s="924"/>
      <c r="T565" s="1353"/>
    </row>
    <row r="566" spans="1:20" ht="17.25" customHeight="1" thickBot="1">
      <c r="A566" s="1423"/>
      <c r="B566" s="959"/>
      <c r="C566" s="282"/>
      <c r="D566" s="284"/>
      <c r="E566" s="1400"/>
      <c r="F566" s="1401"/>
      <c r="G566" s="63"/>
      <c r="H566" s="310">
        <v>55318.47</v>
      </c>
      <c r="I566" s="311">
        <v>55318.47</v>
      </c>
      <c r="J566" s="311">
        <v>9762.09</v>
      </c>
      <c r="K566" s="289">
        <v>9762.1</v>
      </c>
      <c r="L566" s="793"/>
      <c r="M566" s="793"/>
      <c r="N566" s="1049"/>
      <c r="O566" s="1402"/>
      <c r="P566" s="1402"/>
      <c r="Q566" s="537"/>
      <c r="R566" s="538"/>
      <c r="S566" s="1402"/>
      <c r="T566" s="1353"/>
    </row>
    <row r="567" spans="1:20" ht="17.25" customHeight="1" thickBot="1">
      <c r="A567" s="1468" t="s">
        <v>144</v>
      </c>
      <c r="B567" s="1097" t="s">
        <v>220</v>
      </c>
      <c r="C567" s="265">
        <f>354501+354500</f>
        <v>709001</v>
      </c>
      <c r="D567" s="267">
        <f>62559*2</f>
        <v>125118</v>
      </c>
      <c r="E567" s="265">
        <v>709001</v>
      </c>
      <c r="F567" s="433">
        <v>125118</v>
      </c>
      <c r="G567" s="317">
        <v>834119</v>
      </c>
      <c r="H567" s="265">
        <v>336775.54</v>
      </c>
      <c r="I567" s="266">
        <v>336775.54</v>
      </c>
      <c r="J567" s="266">
        <v>59430.99</v>
      </c>
      <c r="K567" s="267">
        <v>59430.98</v>
      </c>
      <c r="L567" s="1461">
        <f>SUM(H567:K568)</f>
        <v>792413.0499999999</v>
      </c>
      <c r="M567" s="1396">
        <v>95</v>
      </c>
      <c r="N567" s="1160">
        <f>663936+22395</f>
        <v>686331</v>
      </c>
      <c r="O567" s="1035">
        <f>N567/E567*100</f>
        <v>96.80254329683598</v>
      </c>
      <c r="P567" s="1035">
        <f>331968+331968</f>
        <v>663936</v>
      </c>
      <c r="Q567" s="683"/>
      <c r="R567" s="611">
        <f>E567+F567</f>
        <v>834119</v>
      </c>
      <c r="S567" s="920">
        <f>P567/E567*100</f>
        <v>93.64387356294279</v>
      </c>
      <c r="T567" s="1353"/>
    </row>
    <row r="568" spans="1:20" ht="17.25" customHeight="1" thickBot="1">
      <c r="A568" s="1467"/>
      <c r="B568" s="1060"/>
      <c r="C568" s="1024">
        <f>C567+D567</f>
        <v>834119</v>
      </c>
      <c r="D568" s="1025"/>
      <c r="E568" s="982">
        <v>834119</v>
      </c>
      <c r="F568" s="1395"/>
      <c r="G568" s="706">
        <v>834119</v>
      </c>
      <c r="H568" s="307"/>
      <c r="I568" s="308"/>
      <c r="J568" s="308"/>
      <c r="K568" s="309"/>
      <c r="L568" s="1462"/>
      <c r="M568" s="1397"/>
      <c r="N568" s="1049"/>
      <c r="O568" s="1027"/>
      <c r="P568" s="1402"/>
      <c r="Q568" s="614"/>
      <c r="R568" s="612">
        <f>E568</f>
        <v>834119</v>
      </c>
      <c r="S568" s="922"/>
      <c r="T568" s="1353"/>
    </row>
    <row r="569" spans="1:20" ht="17.25" customHeight="1" thickBot="1">
      <c r="A569" s="1133" t="s">
        <v>19</v>
      </c>
      <c r="B569" s="1133" t="s">
        <v>20</v>
      </c>
      <c r="C569" s="266">
        <v>385263</v>
      </c>
      <c r="D569" s="266">
        <v>67987</v>
      </c>
      <c r="E569" s="25">
        <v>426505</v>
      </c>
      <c r="F569" s="20">
        <v>75265.78</v>
      </c>
      <c r="G569" s="348">
        <v>501770.5885281816</v>
      </c>
      <c r="H569" s="25">
        <v>44297.2847374361</v>
      </c>
      <c r="I569" s="19">
        <v>44297.2847374361</v>
      </c>
      <c r="J569" s="19">
        <v>7817.167894841665</v>
      </c>
      <c r="K569" s="20">
        <v>7817.167894841665</v>
      </c>
      <c r="L569" s="789">
        <f>SUM(H569:K589)</f>
        <v>467455.25202615646</v>
      </c>
      <c r="M569" s="1035">
        <f>L569/E570*100</f>
        <v>93.16111472775606</v>
      </c>
      <c r="N569" s="1160">
        <f>282421.32+7903.22+10080*2+13906+9938+9939+13903+33425+22663</f>
        <v>414258.54</v>
      </c>
      <c r="O569" s="1035">
        <f>N569/E569*100</f>
        <v>97.12864796426771</v>
      </c>
      <c r="P569" s="1035">
        <f>301953+6953+6953+9939+9938+6951+6952+5381*2</f>
        <v>360401</v>
      </c>
      <c r="Q569" s="923">
        <f>P569/E569*100</f>
        <v>84.5010023329152</v>
      </c>
      <c r="R569" s="292">
        <f>E569+F569</f>
        <v>501770.78</v>
      </c>
      <c r="S569" s="923">
        <f>P569/E569*100</f>
        <v>84.5010023329152</v>
      </c>
      <c r="T569" s="1363"/>
    </row>
    <row r="570" spans="1:21" s="91" customFormat="1" ht="14.25" customHeight="1">
      <c r="A570" s="1134"/>
      <c r="B570" s="1134"/>
      <c r="C570" s="1111">
        <f>SUM(C569:D569)</f>
        <v>453250</v>
      </c>
      <c r="D570" s="1112"/>
      <c r="E570" s="1129">
        <f>E569+F569</f>
        <v>501770.78</v>
      </c>
      <c r="F570" s="1130"/>
      <c r="G570" s="1091">
        <v>501770.5885281816</v>
      </c>
      <c r="H570" s="30">
        <v>58315.99</v>
      </c>
      <c r="I570" s="31">
        <v>58315.99</v>
      </c>
      <c r="J570" s="31">
        <v>10291.05</v>
      </c>
      <c r="K570" s="32">
        <v>10291.05</v>
      </c>
      <c r="L570" s="790"/>
      <c r="M570" s="1036"/>
      <c r="N570" s="1161"/>
      <c r="O570" s="1036"/>
      <c r="P570" s="1036"/>
      <c r="Q570" s="924"/>
      <c r="R570" s="292"/>
      <c r="S570" s="924"/>
      <c r="T570" s="1348">
        <f>(E492-N492)/E492*100/9</f>
        <v>0.885954204933014</v>
      </c>
      <c r="U570" s="292"/>
    </row>
    <row r="571" spans="1:21" s="91" customFormat="1" ht="14.25" customHeight="1">
      <c r="A571" s="1134"/>
      <c r="B571" s="1134"/>
      <c r="C571" s="1093"/>
      <c r="D571" s="1094"/>
      <c r="E571" s="1131"/>
      <c r="F571" s="1118"/>
      <c r="G571" s="1092"/>
      <c r="H571" s="34">
        <v>14541.399123680541</v>
      </c>
      <c r="I571" s="33">
        <v>14541.399123680541</v>
      </c>
      <c r="J571" s="33">
        <v>2566.1292571200956</v>
      </c>
      <c r="K571" s="35">
        <v>2566.1292571200956</v>
      </c>
      <c r="L571" s="790"/>
      <c r="M571" s="1036"/>
      <c r="N571" s="1161"/>
      <c r="O571" s="1036"/>
      <c r="P571" s="1036"/>
      <c r="Q571" s="924"/>
      <c r="R571" s="292"/>
      <c r="S571" s="924"/>
      <c r="T571" s="1361"/>
      <c r="U571" s="292"/>
    </row>
    <row r="572" spans="1:21" s="91" customFormat="1" ht="14.25" customHeight="1">
      <c r="A572" s="1134"/>
      <c r="B572" s="1134"/>
      <c r="C572" s="1093"/>
      <c r="D572" s="1094"/>
      <c r="E572" s="1131"/>
      <c r="F572" s="1118"/>
      <c r="G572" s="1092"/>
      <c r="H572" s="34">
        <v>3043.29</v>
      </c>
      <c r="I572" s="33">
        <v>3043.29</v>
      </c>
      <c r="J572" s="33">
        <v>537.06</v>
      </c>
      <c r="K572" s="35">
        <v>537.06</v>
      </c>
      <c r="L572" s="790"/>
      <c r="M572" s="1036"/>
      <c r="N572" s="1161"/>
      <c r="O572" s="1036"/>
      <c r="P572" s="1036"/>
      <c r="Q572" s="924"/>
      <c r="R572" s="292"/>
      <c r="S572" s="924"/>
      <c r="T572" s="1361"/>
      <c r="U572" s="292"/>
    </row>
    <row r="573" spans="1:21" s="91" customFormat="1" ht="14.25" customHeight="1">
      <c r="A573" s="1134"/>
      <c r="B573" s="1134"/>
      <c r="C573" s="1093"/>
      <c r="D573" s="1094"/>
      <c r="E573" s="1131"/>
      <c r="F573" s="1118"/>
      <c r="G573" s="1092"/>
      <c r="H573" s="34">
        <v>21012.69</v>
      </c>
      <c r="I573" s="33">
        <v>21012.69</v>
      </c>
      <c r="J573" s="33">
        <v>3708.12</v>
      </c>
      <c r="K573" s="35">
        <v>3708.12</v>
      </c>
      <c r="L573" s="790"/>
      <c r="M573" s="1036"/>
      <c r="N573" s="1161"/>
      <c r="O573" s="1036"/>
      <c r="P573" s="1036"/>
      <c r="Q573" s="924"/>
      <c r="R573" s="292"/>
      <c r="S573" s="924"/>
      <c r="T573" s="1361"/>
      <c r="U573" s="292"/>
    </row>
    <row r="574" spans="1:21" s="91" customFormat="1" ht="14.25" customHeight="1">
      <c r="A574" s="1134"/>
      <c r="B574" s="1134"/>
      <c r="C574" s="1093"/>
      <c r="D574" s="1094"/>
      <c r="E574" s="1131"/>
      <c r="F574" s="1118"/>
      <c r="G574" s="1092"/>
      <c r="H574" s="34">
        <v>3438.26</v>
      </c>
      <c r="I574" s="33">
        <v>3438.26</v>
      </c>
      <c r="J574" s="33">
        <v>606.75</v>
      </c>
      <c r="K574" s="35">
        <v>606.75</v>
      </c>
      <c r="L574" s="790"/>
      <c r="M574" s="1036"/>
      <c r="N574" s="1161"/>
      <c r="O574" s="1036"/>
      <c r="P574" s="1036"/>
      <c r="Q574" s="924"/>
      <c r="R574" s="292"/>
      <c r="S574" s="924"/>
      <c r="T574" s="1361"/>
      <c r="U574" s="292"/>
    </row>
    <row r="575" spans="1:21" s="91" customFormat="1" ht="14.25" customHeight="1">
      <c r="A575" s="1134"/>
      <c r="B575" s="1134"/>
      <c r="C575" s="1093"/>
      <c r="D575" s="1094"/>
      <c r="E575" s="1131"/>
      <c r="F575" s="1118"/>
      <c r="G575" s="1092"/>
      <c r="H575" s="12">
        <v>5297.86</v>
      </c>
      <c r="I575" s="11">
        <v>5297.86</v>
      </c>
      <c r="J575" s="11">
        <v>934.92</v>
      </c>
      <c r="K575" s="13">
        <v>934.91</v>
      </c>
      <c r="L575" s="790"/>
      <c r="M575" s="1036"/>
      <c r="N575" s="1161"/>
      <c r="O575" s="1036"/>
      <c r="P575" s="1036"/>
      <c r="Q575" s="924"/>
      <c r="R575" s="292"/>
      <c r="S575" s="924"/>
      <c r="T575" s="1361"/>
      <c r="U575" s="292"/>
    </row>
    <row r="576" spans="1:21" s="91" customFormat="1" ht="14.25" customHeight="1" thickBot="1">
      <c r="A576" s="1134"/>
      <c r="B576" s="1134"/>
      <c r="C576" s="1093"/>
      <c r="D576" s="1094"/>
      <c r="E576" s="1131"/>
      <c r="F576" s="1118"/>
      <c r="G576" s="1092"/>
      <c r="H576" s="34">
        <v>2242.33</v>
      </c>
      <c r="I576" s="33">
        <v>2242.33</v>
      </c>
      <c r="J576" s="33">
        <v>395.72</v>
      </c>
      <c r="K576" s="35">
        <v>395.71</v>
      </c>
      <c r="L576" s="790"/>
      <c r="M576" s="1036"/>
      <c r="N576" s="1161"/>
      <c r="O576" s="1036"/>
      <c r="P576" s="1036"/>
      <c r="Q576" s="927"/>
      <c r="R576" s="292"/>
      <c r="S576" s="924"/>
      <c r="T576" s="1361"/>
      <c r="U576" s="292"/>
    </row>
    <row r="577" spans="1:21" s="91" customFormat="1" ht="14.25" customHeight="1">
      <c r="A577" s="1134"/>
      <c r="B577" s="1134"/>
      <c r="C577" s="1093"/>
      <c r="D577" s="1094"/>
      <c r="E577" s="1131"/>
      <c r="F577" s="1118"/>
      <c r="G577" s="1092"/>
      <c r="H577" s="34">
        <v>7424.29</v>
      </c>
      <c r="I577" s="33">
        <v>7424.29</v>
      </c>
      <c r="J577" s="33">
        <v>1310.18</v>
      </c>
      <c r="K577" s="35">
        <v>1310.17</v>
      </c>
      <c r="L577" s="790"/>
      <c r="M577" s="1036"/>
      <c r="N577" s="1161"/>
      <c r="O577" s="1036"/>
      <c r="P577" s="1036"/>
      <c r="Q577" s="281"/>
      <c r="R577" s="292"/>
      <c r="S577" s="924"/>
      <c r="T577" s="1361"/>
      <c r="U577" s="292"/>
    </row>
    <row r="578" spans="1:21" s="91" customFormat="1" ht="14.25" customHeight="1" thickBot="1">
      <c r="A578" s="1134"/>
      <c r="B578" s="1134"/>
      <c r="C578" s="1093"/>
      <c r="D578" s="1094"/>
      <c r="E578" s="1131"/>
      <c r="F578" s="1118"/>
      <c r="G578" s="1092"/>
      <c r="H578" s="34">
        <v>452.16</v>
      </c>
      <c r="I578" s="33">
        <v>452.16</v>
      </c>
      <c r="J578" s="33">
        <v>79.8</v>
      </c>
      <c r="K578" s="35">
        <v>79.79</v>
      </c>
      <c r="L578" s="790"/>
      <c r="M578" s="1036"/>
      <c r="N578" s="1161"/>
      <c r="O578" s="1036"/>
      <c r="P578" s="1036"/>
      <c r="Q578" s="281"/>
      <c r="R578" s="292"/>
      <c r="S578" s="924"/>
      <c r="T578" s="1349"/>
      <c r="U578" s="292"/>
    </row>
    <row r="579" spans="1:20" ht="14.25" customHeight="1" thickBot="1">
      <c r="A579" s="1134"/>
      <c r="B579" s="1134"/>
      <c r="C579" s="1093"/>
      <c r="D579" s="1094"/>
      <c r="E579" s="1131"/>
      <c r="F579" s="1118"/>
      <c r="G579" s="1081"/>
      <c r="H579" s="34">
        <v>663.75</v>
      </c>
      <c r="I579" s="33">
        <v>663.75</v>
      </c>
      <c r="J579" s="33">
        <v>117.14</v>
      </c>
      <c r="K579" s="35">
        <v>117.13</v>
      </c>
      <c r="L579" s="790"/>
      <c r="M579" s="1036"/>
      <c r="N579" s="1161"/>
      <c r="O579" s="1036"/>
      <c r="P579" s="1036"/>
      <c r="Q579" s="281"/>
      <c r="R579" s="292">
        <f>E570</f>
        <v>501770.78</v>
      </c>
      <c r="S579" s="924"/>
      <c r="T579" s="1352">
        <f>(E502-N502)/E502*100/9</f>
        <v>0.8813637191099102</v>
      </c>
    </row>
    <row r="580" spans="1:20" ht="14.25" customHeight="1" thickBot="1">
      <c r="A580" s="1134"/>
      <c r="B580" s="1134"/>
      <c r="C580" s="1095"/>
      <c r="D580" s="1096"/>
      <c r="E580" s="1131"/>
      <c r="F580" s="1118"/>
      <c r="G580" s="391"/>
      <c r="H580" s="34">
        <v>3364.61</v>
      </c>
      <c r="I580" s="33">
        <v>3364.61</v>
      </c>
      <c r="J580" s="33">
        <v>593.75</v>
      </c>
      <c r="K580" s="35">
        <v>593.75</v>
      </c>
      <c r="L580" s="790"/>
      <c r="M580" s="1036"/>
      <c r="N580" s="1161"/>
      <c r="O580" s="1036"/>
      <c r="P580" s="1036"/>
      <c r="Q580" s="281"/>
      <c r="R580" s="292"/>
      <c r="S580" s="924"/>
      <c r="T580" s="1353"/>
    </row>
    <row r="581" spans="1:20" ht="14.25" customHeight="1">
      <c r="A581" s="1134"/>
      <c r="B581" s="1134"/>
      <c r="C581" s="589"/>
      <c r="D581" s="591"/>
      <c r="E581" s="1131"/>
      <c r="F581" s="1118"/>
      <c r="G581" s="391"/>
      <c r="H581" s="34">
        <v>3252.95</v>
      </c>
      <c r="I581" s="33">
        <v>3252.95</v>
      </c>
      <c r="J581" s="33">
        <v>574.05</v>
      </c>
      <c r="K581" s="43">
        <v>574.05</v>
      </c>
      <c r="L581" s="790"/>
      <c r="M581" s="1036"/>
      <c r="N581" s="1161"/>
      <c r="O581" s="1036"/>
      <c r="P581" s="1036"/>
      <c r="Q581" s="281"/>
      <c r="R581" s="292"/>
      <c r="S581" s="924"/>
      <c r="T581" s="1353"/>
    </row>
    <row r="582" spans="1:20" ht="14.25" customHeight="1">
      <c r="A582" s="1134"/>
      <c r="B582" s="1134"/>
      <c r="C582" s="591"/>
      <c r="D582" s="591"/>
      <c r="E582" s="1131"/>
      <c r="F582" s="1118"/>
      <c r="G582" s="391"/>
      <c r="H582" s="34">
        <v>8200.96</v>
      </c>
      <c r="I582" s="33">
        <v>8200.96</v>
      </c>
      <c r="J582" s="33">
        <v>1447.24</v>
      </c>
      <c r="K582" s="43">
        <v>1447.23</v>
      </c>
      <c r="L582" s="790"/>
      <c r="M582" s="1036"/>
      <c r="N582" s="1161"/>
      <c r="O582" s="1036"/>
      <c r="P582" s="1036"/>
      <c r="Q582" s="281"/>
      <c r="R582" s="292"/>
      <c r="S582" s="924"/>
      <c r="T582" s="1353"/>
    </row>
    <row r="583" spans="1:20" ht="14.25" customHeight="1" thickBot="1">
      <c r="A583" s="1134"/>
      <c r="B583" s="1134"/>
      <c r="C583" s="591"/>
      <c r="D583" s="591"/>
      <c r="E583" s="1131"/>
      <c r="F583" s="1118"/>
      <c r="G583" s="391"/>
      <c r="H583" s="34">
        <v>8039.4</v>
      </c>
      <c r="I583" s="33">
        <v>8039.4</v>
      </c>
      <c r="J583" s="33">
        <v>1418.72</v>
      </c>
      <c r="K583" s="43">
        <v>1418.72</v>
      </c>
      <c r="L583" s="790"/>
      <c r="M583" s="1036"/>
      <c r="N583" s="1161"/>
      <c r="O583" s="1036"/>
      <c r="P583" s="1036"/>
      <c r="Q583" s="281"/>
      <c r="R583" s="292"/>
      <c r="S583" s="924"/>
      <c r="T583" s="1354"/>
    </row>
    <row r="584" spans="1:20" ht="14.25" customHeight="1">
      <c r="A584" s="1134"/>
      <c r="B584" s="1134"/>
      <c r="C584" s="591"/>
      <c r="D584" s="591"/>
      <c r="E584" s="1131"/>
      <c r="F584" s="1118"/>
      <c r="G584" s="391"/>
      <c r="H584" s="34">
        <v>4757.23</v>
      </c>
      <c r="I584" s="33">
        <v>4757.23</v>
      </c>
      <c r="J584" s="33">
        <v>839.51</v>
      </c>
      <c r="K584" s="43">
        <v>839.51</v>
      </c>
      <c r="L584" s="790"/>
      <c r="M584" s="1036"/>
      <c r="N584" s="1161"/>
      <c r="O584" s="1036"/>
      <c r="P584" s="1036"/>
      <c r="Q584" s="281"/>
      <c r="R584" s="292"/>
      <c r="S584" s="924"/>
      <c r="T584" s="587"/>
    </row>
    <row r="585" spans="1:21" s="92" customFormat="1" ht="19.5" customHeight="1">
      <c r="A585" s="1134"/>
      <c r="B585" s="1134"/>
      <c r="C585" s="591"/>
      <c r="D585" s="591"/>
      <c r="E585" s="1131"/>
      <c r="F585" s="1118"/>
      <c r="G585" s="391"/>
      <c r="H585" s="34">
        <v>764.18</v>
      </c>
      <c r="I585" s="33">
        <v>764.18</v>
      </c>
      <c r="J585" s="33">
        <v>134.86</v>
      </c>
      <c r="K585" s="43">
        <v>134.86</v>
      </c>
      <c r="L585" s="790"/>
      <c r="M585" s="1036"/>
      <c r="N585" s="1161"/>
      <c r="O585" s="1036"/>
      <c r="P585" s="1036"/>
      <c r="Q585" s="281"/>
      <c r="R585" s="292"/>
      <c r="S585" s="924"/>
      <c r="T585" s="1366">
        <f>(E608-N608)/E608*100/9</f>
        <v>0.04882463051523503</v>
      </c>
      <c r="U585" s="538"/>
    </row>
    <row r="586" spans="1:21" s="92" customFormat="1" ht="18" customHeight="1">
      <c r="A586" s="1134"/>
      <c r="B586" s="1134"/>
      <c r="C586" s="591"/>
      <c r="D586" s="591"/>
      <c r="E586" s="1131"/>
      <c r="F586" s="1118"/>
      <c r="G586" s="391"/>
      <c r="H586" s="34">
        <v>3698.23</v>
      </c>
      <c r="I586" s="33">
        <v>3698.23</v>
      </c>
      <c r="J586" s="33">
        <v>652.63</v>
      </c>
      <c r="K586" s="43">
        <v>652.63</v>
      </c>
      <c r="L586" s="790"/>
      <c r="M586" s="1036"/>
      <c r="N586" s="1161"/>
      <c r="O586" s="1036"/>
      <c r="P586" s="1036"/>
      <c r="Q586" s="281"/>
      <c r="R586" s="292"/>
      <c r="S586" s="924"/>
      <c r="T586" s="1459"/>
      <c r="U586" s="538"/>
    </row>
    <row r="587" spans="1:21" s="92" customFormat="1" ht="20.25" customHeight="1">
      <c r="A587" s="1134"/>
      <c r="B587" s="1134"/>
      <c r="C587" s="591"/>
      <c r="D587" s="591"/>
      <c r="E587" s="1131"/>
      <c r="F587" s="1118"/>
      <c r="G587" s="391"/>
      <c r="H587" s="897">
        <v>1938.89</v>
      </c>
      <c r="I587" s="332">
        <v>1938.89</v>
      </c>
      <c r="J587" s="332">
        <v>342.16</v>
      </c>
      <c r="K587" s="333">
        <v>342.16</v>
      </c>
      <c r="L587" s="790"/>
      <c r="M587" s="1036"/>
      <c r="N587" s="1161"/>
      <c r="O587" s="1036"/>
      <c r="P587" s="1036"/>
      <c r="Q587" s="281"/>
      <c r="R587" s="292"/>
      <c r="S587" s="924"/>
      <c r="T587" s="588"/>
      <c r="U587" s="538"/>
    </row>
    <row r="588" spans="1:21" s="92" customFormat="1" ht="19.5" customHeight="1">
      <c r="A588" s="1134"/>
      <c r="B588" s="1134"/>
      <c r="C588" s="591"/>
      <c r="D588" s="591"/>
      <c r="E588" s="1131"/>
      <c r="F588" s="1118"/>
      <c r="G588" s="391"/>
      <c r="H588" s="897">
        <v>168.38</v>
      </c>
      <c r="I588" s="332">
        <v>168.38</v>
      </c>
      <c r="J588" s="332">
        <v>29.71</v>
      </c>
      <c r="K588" s="414">
        <v>29.71</v>
      </c>
      <c r="L588" s="790"/>
      <c r="M588" s="1036"/>
      <c r="N588" s="1161"/>
      <c r="O588" s="1036"/>
      <c r="P588" s="1036"/>
      <c r="Q588" s="281"/>
      <c r="R588" s="292"/>
      <c r="S588" s="924"/>
      <c r="T588" s="588"/>
      <c r="U588" s="538"/>
    </row>
    <row r="589" spans="1:21" s="92" customFormat="1" ht="20.25" customHeight="1" thickBot="1">
      <c r="A589" s="1090"/>
      <c r="B589" s="1090"/>
      <c r="C589" s="591"/>
      <c r="D589" s="591"/>
      <c r="E589" s="1102"/>
      <c r="F589" s="1103"/>
      <c r="G589" s="391"/>
      <c r="H589" s="890">
        <v>3754.32</v>
      </c>
      <c r="I589" s="326">
        <v>3754.32</v>
      </c>
      <c r="J589" s="326">
        <v>662.54</v>
      </c>
      <c r="K589" s="338">
        <v>662.53</v>
      </c>
      <c r="L589" s="766"/>
      <c r="M589" s="1027"/>
      <c r="N589" s="1126"/>
      <c r="O589" s="1027"/>
      <c r="P589" s="1027"/>
      <c r="Q589" s="281"/>
      <c r="R589" s="292"/>
      <c r="S589" s="927"/>
      <c r="T589" s="588"/>
      <c r="U589" s="538"/>
    </row>
    <row r="590" spans="1:21" s="93" customFormat="1" ht="18.75" customHeight="1">
      <c r="A590" s="1133" t="s">
        <v>69</v>
      </c>
      <c r="B590" s="1133" t="s">
        <v>70</v>
      </c>
      <c r="C590" s="33">
        <v>445486</v>
      </c>
      <c r="D590" s="33">
        <v>83528.7</v>
      </c>
      <c r="E590" s="72">
        <v>448207.28</v>
      </c>
      <c r="F590" s="60">
        <v>84038.88</v>
      </c>
      <c r="G590" s="220">
        <v>532246.16</v>
      </c>
      <c r="H590" s="322">
        <v>120094.5</v>
      </c>
      <c r="I590" s="323">
        <v>120094.5</v>
      </c>
      <c r="J590" s="323">
        <v>22517.72</v>
      </c>
      <c r="K590" s="324">
        <v>22517.72</v>
      </c>
      <c r="L590" s="1158">
        <f>SUM(H590:K594)</f>
        <v>518453.5500000003</v>
      </c>
      <c r="M590" s="1160">
        <f>L590/E591*100</f>
        <v>97.40860319217714</v>
      </c>
      <c r="N590" s="1160">
        <f>276098+51529*2+14797+14796+27843</f>
        <v>436592</v>
      </c>
      <c r="O590" s="1035">
        <f>N590/E590*100</f>
        <v>97.40850260174265</v>
      </c>
      <c r="P590" s="1035">
        <f>379156+14797+14796+13921+13922</f>
        <v>436592</v>
      </c>
      <c r="Q590" s="1304">
        <f>P590/E590*100</f>
        <v>97.40850260174265</v>
      </c>
      <c r="R590" s="363">
        <f>E590+F590</f>
        <v>532246.16</v>
      </c>
      <c r="S590" s="923">
        <f>P590/E590*100</f>
        <v>97.40850260174265</v>
      </c>
      <c r="T590" s="1251">
        <f>(E526-N526)/E526*100/9</f>
        <v>0.682419156266014</v>
      </c>
      <c r="U590" s="363"/>
    </row>
    <row r="591" spans="1:21" s="93" customFormat="1" ht="18.75" customHeight="1">
      <c r="A591" s="1134"/>
      <c r="B591" s="1134"/>
      <c r="C591" s="1129">
        <f>SUM(C590:D590)</f>
        <v>529014.7</v>
      </c>
      <c r="D591" s="1130"/>
      <c r="E591" s="1129">
        <v>532246.16</v>
      </c>
      <c r="F591" s="1109"/>
      <c r="G591" s="1016">
        <v>532246.16</v>
      </c>
      <c r="H591" s="331">
        <v>17954.84</v>
      </c>
      <c r="I591" s="332">
        <v>17954.84</v>
      </c>
      <c r="J591" s="332">
        <v>3366.53</v>
      </c>
      <c r="K591" s="333">
        <v>3366.53</v>
      </c>
      <c r="L591" s="1159"/>
      <c r="M591" s="1161"/>
      <c r="N591" s="1161"/>
      <c r="O591" s="1036"/>
      <c r="P591" s="1036"/>
      <c r="Q591" s="1306"/>
      <c r="R591" s="363"/>
      <c r="S591" s="924"/>
      <c r="T591" s="1252"/>
      <c r="U591" s="363"/>
    </row>
    <row r="592" spans="1:21" s="93" customFormat="1" ht="18.75" customHeight="1" thickBot="1">
      <c r="A592" s="1134"/>
      <c r="B592" s="1134"/>
      <c r="C592" s="1102"/>
      <c r="D592" s="1103"/>
      <c r="E592" s="1131"/>
      <c r="F592" s="1110"/>
      <c r="G592" s="1018"/>
      <c r="H592" s="331">
        <v>51529.08</v>
      </c>
      <c r="I592" s="332">
        <v>51529.08</v>
      </c>
      <c r="J592" s="332">
        <v>9661.7</v>
      </c>
      <c r="K592" s="333">
        <v>9661.7</v>
      </c>
      <c r="L592" s="1159"/>
      <c r="M592" s="1161"/>
      <c r="N592" s="1161"/>
      <c r="O592" s="1036"/>
      <c r="P592" s="1036"/>
      <c r="Q592" s="1307"/>
      <c r="R592" s="363">
        <f>E591</f>
        <v>532246.16</v>
      </c>
      <c r="S592" s="924"/>
      <c r="T592" s="1253"/>
      <c r="U592" s="363"/>
    </row>
    <row r="593" spans="1:21" s="93" customFormat="1" ht="18.75" customHeight="1" thickBot="1">
      <c r="A593" s="1067"/>
      <c r="B593" s="1067"/>
      <c r="C593" s="736"/>
      <c r="D593" s="402"/>
      <c r="E593" s="1144"/>
      <c r="F593" s="1106"/>
      <c r="G593" s="379"/>
      <c r="H593" s="331">
        <v>23320.03</v>
      </c>
      <c r="I593" s="332">
        <v>23320.03</v>
      </c>
      <c r="J593" s="332">
        <v>4372.52</v>
      </c>
      <c r="K593" s="333">
        <v>4372.51</v>
      </c>
      <c r="L593" s="1127"/>
      <c r="M593" s="1127"/>
      <c r="N593" s="1156"/>
      <c r="O593" s="926"/>
      <c r="P593" s="926"/>
      <c r="Q593" s="315"/>
      <c r="R593" s="363"/>
      <c r="S593" s="926"/>
      <c r="T593" s="588"/>
      <c r="U593" s="363"/>
    </row>
    <row r="594" spans="1:21" s="93" customFormat="1" ht="20.25" customHeight="1" thickBot="1">
      <c r="A594" s="1128"/>
      <c r="B594" s="1128"/>
      <c r="C594" s="736"/>
      <c r="D594" s="402"/>
      <c r="E594" s="1146"/>
      <c r="F594" s="1107"/>
      <c r="G594" s="379"/>
      <c r="H594" s="325">
        <v>5397.78</v>
      </c>
      <c r="I594" s="326">
        <v>5397.78</v>
      </c>
      <c r="J594" s="326">
        <v>1012.08</v>
      </c>
      <c r="K594" s="327">
        <v>1012.08</v>
      </c>
      <c r="L594" s="1157"/>
      <c r="M594" s="1157"/>
      <c r="N594" s="1132"/>
      <c r="O594" s="1157"/>
      <c r="P594" s="1157"/>
      <c r="Q594" s="315"/>
      <c r="R594" s="363"/>
      <c r="S594" s="1157"/>
      <c r="T594" s="1359">
        <f>(C567/9)/C567*100</f>
        <v>11.111111111111112</v>
      </c>
      <c r="U594" s="363"/>
    </row>
    <row r="595" spans="1:21" s="93" customFormat="1" ht="21.75" customHeight="1" thickBot="1">
      <c r="A595" s="1133" t="s">
        <v>73</v>
      </c>
      <c r="B595" s="1133" t="s">
        <v>74</v>
      </c>
      <c r="C595" s="25">
        <v>668184</v>
      </c>
      <c r="D595" s="20">
        <v>117915</v>
      </c>
      <c r="E595" s="61">
        <v>672376.16</v>
      </c>
      <c r="F595" s="83">
        <v>118654.56</v>
      </c>
      <c r="G595" s="255">
        <v>791030.72</v>
      </c>
      <c r="H595" s="57">
        <v>131353.57</v>
      </c>
      <c r="I595" s="56">
        <v>131353.57</v>
      </c>
      <c r="J595" s="56">
        <v>23180.04</v>
      </c>
      <c r="K595" s="58">
        <v>23180.04</v>
      </c>
      <c r="L595" s="1416">
        <f>SUM(H595:K598)</f>
        <v>788087.95</v>
      </c>
      <c r="M595" s="1154">
        <f>L595/E596*100</f>
        <v>99.62798284243625</v>
      </c>
      <c r="N595" s="1077">
        <v>668184</v>
      </c>
      <c r="O595" s="1251">
        <f>N595/E595*100</f>
        <v>99.37651566944312</v>
      </c>
      <c r="P595" s="1251">
        <f>2816+311940+311939+1092*2+19652+19653</f>
        <v>668184</v>
      </c>
      <c r="Q595" s="1304">
        <f>P595/E595*100</f>
        <v>99.37651566944312</v>
      </c>
      <c r="R595" s="363">
        <f>E595+F595</f>
        <v>791030.72</v>
      </c>
      <c r="S595" s="1345">
        <f>P595/E595*100</f>
        <v>99.37651566944312</v>
      </c>
      <c r="T595" s="1362">
        <f>(C568/9)/C568*100</f>
        <v>11.111111111111112</v>
      </c>
      <c r="U595" s="363"/>
    </row>
    <row r="596" spans="1:21" s="92" customFormat="1" ht="20.25" customHeight="1">
      <c r="A596" s="1134"/>
      <c r="B596" s="1134"/>
      <c r="C596" s="1129">
        <f>SUM(C595:D595)</f>
        <v>786099</v>
      </c>
      <c r="D596" s="1130"/>
      <c r="E596" s="1129">
        <v>791030.72</v>
      </c>
      <c r="F596" s="1130"/>
      <c r="G596" s="1016">
        <v>791030.72</v>
      </c>
      <c r="H596" s="258">
        <v>161412.96</v>
      </c>
      <c r="I596" s="259">
        <v>161412.96</v>
      </c>
      <c r="J596" s="259">
        <v>28484.64</v>
      </c>
      <c r="K596" s="260">
        <v>28484.64</v>
      </c>
      <c r="L596" s="1417"/>
      <c r="M596" s="1155"/>
      <c r="N596" s="1075"/>
      <c r="O596" s="1252"/>
      <c r="P596" s="1252"/>
      <c r="Q596" s="1306"/>
      <c r="R596" s="363"/>
      <c r="S596" s="1346"/>
      <c r="T596" s="588"/>
      <c r="U596" s="538"/>
    </row>
    <row r="597" spans="1:21" s="92" customFormat="1" ht="24.75" customHeight="1" thickBot="1">
      <c r="A597" s="1134"/>
      <c r="B597" s="1134"/>
      <c r="C597" s="1131"/>
      <c r="D597" s="1118"/>
      <c r="E597" s="1131"/>
      <c r="F597" s="1118"/>
      <c r="G597" s="1018"/>
      <c r="H597" s="34">
        <v>26612.11</v>
      </c>
      <c r="I597" s="33">
        <v>26612.11</v>
      </c>
      <c r="J597" s="33">
        <v>4696.27</v>
      </c>
      <c r="K597" s="35">
        <v>4696.26</v>
      </c>
      <c r="L597" s="1417"/>
      <c r="M597" s="1155"/>
      <c r="N597" s="1075"/>
      <c r="O597" s="1252"/>
      <c r="P597" s="1252"/>
      <c r="Q597" s="1306"/>
      <c r="R597" s="363">
        <f>E596</f>
        <v>791030.72</v>
      </c>
      <c r="S597" s="1346"/>
      <c r="T597" s="588"/>
      <c r="U597" s="538"/>
    </row>
    <row r="598" spans="1:21" ht="18.75" customHeight="1" thickBot="1">
      <c r="A598" s="1090"/>
      <c r="B598" s="1090"/>
      <c r="C598" s="1146"/>
      <c r="D598" s="1147"/>
      <c r="E598" s="1102"/>
      <c r="F598" s="1103"/>
      <c r="G598" s="379"/>
      <c r="H598" s="12">
        <v>15558.73</v>
      </c>
      <c r="I598" s="11">
        <v>15558.73</v>
      </c>
      <c r="J598" s="11">
        <v>2745.67</v>
      </c>
      <c r="K598" s="13">
        <v>2745.65</v>
      </c>
      <c r="L598" s="1418"/>
      <c r="M598" s="1108"/>
      <c r="N598" s="1076"/>
      <c r="O598" s="1253"/>
      <c r="P598" s="1253"/>
      <c r="Q598" s="315"/>
      <c r="R598" s="363"/>
      <c r="S598" s="1347"/>
      <c r="T598" s="1352">
        <f>(E590-N590)/E590*100/9</f>
        <v>0.2879441553619276</v>
      </c>
      <c r="U598" s="90"/>
    </row>
    <row r="599" spans="1:21" ht="18.75" customHeight="1">
      <c r="A599" s="1133" t="s">
        <v>39</v>
      </c>
      <c r="B599" s="1133" t="s">
        <v>40</v>
      </c>
      <c r="C599" s="311">
        <v>329460</v>
      </c>
      <c r="D599" s="311">
        <v>58140</v>
      </c>
      <c r="E599" s="61">
        <v>364728.82</v>
      </c>
      <c r="F599" s="80">
        <v>64363.9</v>
      </c>
      <c r="G599" s="348">
        <v>429092.7305317666</v>
      </c>
      <c r="H599" s="322">
        <v>14143.64</v>
      </c>
      <c r="I599" s="323">
        <v>14143.64</v>
      </c>
      <c r="J599" s="323">
        <v>2495.94</v>
      </c>
      <c r="K599" s="339">
        <v>2495.94</v>
      </c>
      <c r="L599" s="1158">
        <f>SUM(H599:K607)</f>
        <v>429085.3200000001</v>
      </c>
      <c r="M599" s="1160">
        <f>L599/E600*100</f>
        <v>99.99827543100712</v>
      </c>
      <c r="N599" s="1160">
        <v>362801.06</v>
      </c>
      <c r="O599" s="1035">
        <f>N599/E599*100</f>
        <v>99.47145388730179</v>
      </c>
      <c r="P599" s="1035">
        <v>329461.5</v>
      </c>
      <c r="Q599" s="1304">
        <f>P599/E599*100</f>
        <v>90.33053653396516</v>
      </c>
      <c r="R599" s="363">
        <f>E599+F599</f>
        <v>429092.72000000003</v>
      </c>
      <c r="S599" s="1345">
        <f>P599/E599*100</f>
        <v>90.33053653396516</v>
      </c>
      <c r="T599" s="1353"/>
      <c r="U599" s="90"/>
    </row>
    <row r="600" spans="1:21" ht="18.75" customHeight="1" thickBot="1">
      <c r="A600" s="1134"/>
      <c r="B600" s="1134"/>
      <c r="C600" s="1129">
        <f>SUM(C599:D599)</f>
        <v>387600</v>
      </c>
      <c r="D600" s="1130"/>
      <c r="E600" s="1129">
        <v>429092.72</v>
      </c>
      <c r="F600" s="1130"/>
      <c r="G600" s="1091">
        <v>429092.7305317666</v>
      </c>
      <c r="H600" s="342">
        <v>19286.6</v>
      </c>
      <c r="I600" s="332">
        <v>19286.6</v>
      </c>
      <c r="J600" s="332">
        <v>3403.52</v>
      </c>
      <c r="K600" s="414">
        <v>3403.52</v>
      </c>
      <c r="L600" s="1159"/>
      <c r="M600" s="1161"/>
      <c r="N600" s="1161"/>
      <c r="O600" s="1036"/>
      <c r="P600" s="1036"/>
      <c r="Q600" s="1306"/>
      <c r="R600" s="363"/>
      <c r="S600" s="1346"/>
      <c r="T600" s="1354"/>
      <c r="U600" s="90"/>
    </row>
    <row r="601" spans="1:21" ht="18.75" customHeight="1">
      <c r="A601" s="1134"/>
      <c r="B601" s="1134"/>
      <c r="C601" s="1131"/>
      <c r="D601" s="1118"/>
      <c r="E601" s="1131"/>
      <c r="F601" s="1118"/>
      <c r="G601" s="1092"/>
      <c r="H601" s="331">
        <v>15275.52</v>
      </c>
      <c r="I601" s="332">
        <v>15275.52</v>
      </c>
      <c r="J601" s="332">
        <v>2695.68</v>
      </c>
      <c r="K601" s="414">
        <v>2695.68</v>
      </c>
      <c r="L601" s="1159"/>
      <c r="M601" s="1161"/>
      <c r="N601" s="1161"/>
      <c r="O601" s="1036"/>
      <c r="P601" s="1036"/>
      <c r="Q601" s="1306"/>
      <c r="R601" s="363"/>
      <c r="S601" s="1346"/>
      <c r="T601" s="587"/>
      <c r="U601" s="90"/>
    </row>
    <row r="602" spans="1:21" ht="18.75" customHeight="1" thickBot="1">
      <c r="A602" s="1134"/>
      <c r="B602" s="1134"/>
      <c r="C602" s="1131"/>
      <c r="D602" s="1118"/>
      <c r="E602" s="1131"/>
      <c r="F602" s="1118"/>
      <c r="G602" s="1092"/>
      <c r="H602" s="331">
        <v>9642.66</v>
      </c>
      <c r="I602" s="332">
        <v>9642.66</v>
      </c>
      <c r="J602" s="332">
        <v>1701.65</v>
      </c>
      <c r="K602" s="414">
        <v>1701.65</v>
      </c>
      <c r="L602" s="1159"/>
      <c r="M602" s="1161"/>
      <c r="N602" s="1161"/>
      <c r="O602" s="1036"/>
      <c r="P602" s="1036"/>
      <c r="Q602" s="1306"/>
      <c r="R602" s="363"/>
      <c r="S602" s="1346"/>
      <c r="T602" s="587"/>
      <c r="U602" s="90"/>
    </row>
    <row r="603" spans="1:21" ht="17.25" customHeight="1">
      <c r="A603" s="1134"/>
      <c r="B603" s="1134"/>
      <c r="C603" s="1131"/>
      <c r="D603" s="1118"/>
      <c r="E603" s="1131"/>
      <c r="F603" s="1118"/>
      <c r="G603" s="1092"/>
      <c r="H603" s="331">
        <v>21185.04</v>
      </c>
      <c r="I603" s="332">
        <v>21185.04</v>
      </c>
      <c r="J603" s="332">
        <v>3738.54</v>
      </c>
      <c r="K603" s="414">
        <v>3738.54</v>
      </c>
      <c r="L603" s="1159"/>
      <c r="M603" s="1161"/>
      <c r="N603" s="1161"/>
      <c r="O603" s="1036"/>
      <c r="P603" s="1036"/>
      <c r="Q603" s="1306"/>
      <c r="R603" s="363"/>
      <c r="S603" s="1346"/>
      <c r="T603" s="1352">
        <f>(E595-N595)/E595*100/9</f>
        <v>0.06927603672854182</v>
      </c>
      <c r="U603" s="90"/>
    </row>
    <row r="604" spans="1:21" ht="17.25" customHeight="1">
      <c r="A604" s="1134"/>
      <c r="B604" s="1134"/>
      <c r="C604" s="1131"/>
      <c r="D604" s="1118"/>
      <c r="E604" s="1131"/>
      <c r="F604" s="1118"/>
      <c r="G604" s="1092"/>
      <c r="H604" s="331">
        <v>36243.26</v>
      </c>
      <c r="I604" s="332">
        <v>36243.26</v>
      </c>
      <c r="J604" s="332">
        <v>6395.87</v>
      </c>
      <c r="K604" s="414">
        <v>6395.87</v>
      </c>
      <c r="L604" s="1159"/>
      <c r="M604" s="1161"/>
      <c r="N604" s="1161"/>
      <c r="O604" s="1036"/>
      <c r="P604" s="1036"/>
      <c r="Q604" s="1306"/>
      <c r="R604" s="363"/>
      <c r="S604" s="1346"/>
      <c r="T604" s="1353"/>
      <c r="U604" s="90"/>
    </row>
    <row r="605" spans="1:21" ht="17.25" customHeight="1">
      <c r="A605" s="1134"/>
      <c r="B605" s="1134"/>
      <c r="C605" s="1131"/>
      <c r="D605" s="1118"/>
      <c r="E605" s="1131"/>
      <c r="F605" s="1118"/>
      <c r="G605" s="1092"/>
      <c r="H605" s="325">
        <v>42177.51</v>
      </c>
      <c r="I605" s="326">
        <v>42177.51</v>
      </c>
      <c r="J605" s="326">
        <v>7443.09</v>
      </c>
      <c r="K605" s="402">
        <v>7443.09</v>
      </c>
      <c r="L605" s="1159"/>
      <c r="M605" s="1161"/>
      <c r="N605" s="1161"/>
      <c r="O605" s="1036"/>
      <c r="P605" s="1036"/>
      <c r="Q605" s="1306"/>
      <c r="R605" s="363"/>
      <c r="S605" s="1346"/>
      <c r="T605" s="1353"/>
      <c r="U605" s="90"/>
    </row>
    <row r="606" spans="1:21" ht="17.25" customHeight="1" thickBot="1">
      <c r="A606" s="1134"/>
      <c r="B606" s="1134"/>
      <c r="C606" s="1131"/>
      <c r="D606" s="1118"/>
      <c r="E606" s="1131"/>
      <c r="F606" s="1118"/>
      <c r="G606" s="1092"/>
      <c r="H606" s="331">
        <v>15291.98</v>
      </c>
      <c r="I606" s="332">
        <v>15291.98</v>
      </c>
      <c r="J606" s="332">
        <v>2698.58</v>
      </c>
      <c r="K606" s="414">
        <v>2698.58</v>
      </c>
      <c r="L606" s="1159"/>
      <c r="M606" s="1161"/>
      <c r="N606" s="1161"/>
      <c r="O606" s="1036"/>
      <c r="P606" s="1036"/>
      <c r="Q606" s="1306"/>
      <c r="R606" s="363"/>
      <c r="S606" s="1346"/>
      <c r="T606" s="1354"/>
      <c r="U606" s="90"/>
    </row>
    <row r="607" spans="1:21" ht="17.25" customHeight="1" thickBot="1">
      <c r="A607" s="959"/>
      <c r="B607" s="1128"/>
      <c r="C607" s="1102"/>
      <c r="D607" s="1103"/>
      <c r="E607" s="1146"/>
      <c r="F607" s="1147"/>
      <c r="G607" s="1081"/>
      <c r="H607" s="325">
        <v>0</v>
      </c>
      <c r="I607" s="326">
        <v>0</v>
      </c>
      <c r="J607" s="326">
        <v>10723.580000000002</v>
      </c>
      <c r="K607" s="402">
        <v>10723.58</v>
      </c>
      <c r="L607" s="1132"/>
      <c r="M607" s="1132"/>
      <c r="N607" s="1132"/>
      <c r="O607" s="1027"/>
      <c r="P607" s="925"/>
      <c r="Q607" s="315"/>
      <c r="R607" s="363">
        <f>E600</f>
        <v>429092.72</v>
      </c>
      <c r="S607" s="1347"/>
      <c r="T607" s="1352">
        <f>(E599-N599)/E599*100/9</f>
        <v>0.05872734585535538</v>
      </c>
      <c r="U607" s="90"/>
    </row>
    <row r="608" spans="1:21" ht="17.25" customHeight="1">
      <c r="A608" s="1133" t="s">
        <v>216</v>
      </c>
      <c r="B608" s="1133" t="s">
        <v>215</v>
      </c>
      <c r="C608" s="265">
        <f>314391+314390</f>
        <v>628781</v>
      </c>
      <c r="D608" s="313">
        <f>55480.5*2</f>
        <v>110961</v>
      </c>
      <c r="E608" s="312">
        <v>628781</v>
      </c>
      <c r="F608" s="267">
        <v>110961</v>
      </c>
      <c r="G608" s="317">
        <v>739742</v>
      </c>
      <c r="H608" s="265">
        <v>9945</v>
      </c>
      <c r="I608" s="266">
        <v>9945</v>
      </c>
      <c r="J608" s="266">
        <v>1755</v>
      </c>
      <c r="K608" s="267">
        <v>1755</v>
      </c>
      <c r="L608" s="789">
        <f>SUM(H608:K615)</f>
        <v>736492.5900000002</v>
      </c>
      <c r="M608" s="923">
        <f>L608/E609*100</f>
        <v>99.56073739222596</v>
      </c>
      <c r="N608" s="1160">
        <f>19890+225216+343925+18494+18493</f>
        <v>626018</v>
      </c>
      <c r="O608" s="1035">
        <f>N608/E608*100</f>
        <v>99.56057832536288</v>
      </c>
      <c r="P608" s="1035">
        <f>245106+171962+171963</f>
        <v>589031</v>
      </c>
      <c r="Q608" s="679"/>
      <c r="R608" s="611">
        <f>E608+F608</f>
        <v>739742</v>
      </c>
      <c r="S608" s="923">
        <f>P608/E608*100</f>
        <v>93.67824409452575</v>
      </c>
      <c r="T608" s="1353"/>
      <c r="U608" s="90"/>
    </row>
    <row r="609" spans="1:21" ht="17.25" customHeight="1" thickBot="1">
      <c r="A609" s="1134"/>
      <c r="B609" s="1134"/>
      <c r="C609" s="1024">
        <f>C608+D608</f>
        <v>739742</v>
      </c>
      <c r="D609" s="1025"/>
      <c r="E609" s="1119">
        <v>739742</v>
      </c>
      <c r="F609" s="1065"/>
      <c r="G609" s="63">
        <v>739742</v>
      </c>
      <c r="H609" s="287">
        <v>38003.57</v>
      </c>
      <c r="I609" s="288">
        <v>38003.57</v>
      </c>
      <c r="J609" s="288">
        <v>6706.52</v>
      </c>
      <c r="K609" s="285">
        <v>6706.51</v>
      </c>
      <c r="L609" s="790"/>
      <c r="M609" s="924"/>
      <c r="N609" s="1161"/>
      <c r="O609" s="1036"/>
      <c r="P609" s="1036"/>
      <c r="Q609" s="537"/>
      <c r="R609" s="680">
        <f>E609</f>
        <v>739742</v>
      </c>
      <c r="S609" s="924"/>
      <c r="T609" s="1353"/>
      <c r="U609" s="90"/>
    </row>
    <row r="610" spans="1:21" ht="17.25" customHeight="1" thickBot="1">
      <c r="A610" s="1134"/>
      <c r="B610" s="1134"/>
      <c r="C610" s="598"/>
      <c r="D610" s="608"/>
      <c r="E610" s="1121"/>
      <c r="F610" s="1058"/>
      <c r="G610" s="421"/>
      <c r="H610" s="287">
        <v>73512.28</v>
      </c>
      <c r="I610" s="288">
        <v>73512.28</v>
      </c>
      <c r="J610" s="288">
        <v>12972.76</v>
      </c>
      <c r="K610" s="285">
        <v>12972.75</v>
      </c>
      <c r="L610" s="790"/>
      <c r="M610" s="924"/>
      <c r="N610" s="1161"/>
      <c r="O610" s="1036"/>
      <c r="P610" s="1036"/>
      <c r="Q610" s="614"/>
      <c r="R610" s="612"/>
      <c r="S610" s="924"/>
      <c r="T610" s="1353"/>
      <c r="U610" s="90"/>
    </row>
    <row r="611" spans="1:21" ht="17.25" customHeight="1">
      <c r="A611" s="1134"/>
      <c r="B611" s="1134"/>
      <c r="C611" s="359"/>
      <c r="D611" s="532"/>
      <c r="E611" s="1121"/>
      <c r="F611" s="1058"/>
      <c r="G611" s="63"/>
      <c r="H611" s="287">
        <v>72736.04</v>
      </c>
      <c r="I611" s="288">
        <v>72736.04</v>
      </c>
      <c r="J611" s="288">
        <v>12835.77</v>
      </c>
      <c r="K611" s="285">
        <v>12835.77</v>
      </c>
      <c r="L611" s="790"/>
      <c r="M611" s="924"/>
      <c r="N611" s="1161"/>
      <c r="O611" s="1036"/>
      <c r="P611" s="1036"/>
      <c r="Q611" s="537"/>
      <c r="R611" s="680"/>
      <c r="S611" s="924"/>
      <c r="T611" s="1353"/>
      <c r="U611" s="90"/>
    </row>
    <row r="612" spans="1:21" ht="17.25" customHeight="1">
      <c r="A612" s="1134"/>
      <c r="B612" s="1134"/>
      <c r="C612" s="359"/>
      <c r="D612" s="532"/>
      <c r="E612" s="1121"/>
      <c r="F612" s="1058"/>
      <c r="G612" s="63"/>
      <c r="H612" s="287">
        <v>65400.77</v>
      </c>
      <c r="I612" s="288">
        <v>65400.77</v>
      </c>
      <c r="J612" s="288">
        <v>11541.31</v>
      </c>
      <c r="K612" s="285">
        <v>11541.31</v>
      </c>
      <c r="L612" s="790"/>
      <c r="M612" s="924"/>
      <c r="N612" s="1161"/>
      <c r="O612" s="1036"/>
      <c r="P612" s="1036"/>
      <c r="Q612" s="537"/>
      <c r="R612" s="680"/>
      <c r="S612" s="924"/>
      <c r="T612" s="1353"/>
      <c r="U612" s="90"/>
    </row>
    <row r="613" spans="1:21" ht="17.25" customHeight="1">
      <c r="A613" s="1134"/>
      <c r="B613" s="1134"/>
      <c r="C613" s="359"/>
      <c r="D613" s="532"/>
      <c r="E613" s="1121"/>
      <c r="F613" s="1058"/>
      <c r="G613" s="63"/>
      <c r="H613" s="287">
        <v>1092.42</v>
      </c>
      <c r="I613" s="288">
        <v>1092.42</v>
      </c>
      <c r="J613" s="288">
        <v>192.78</v>
      </c>
      <c r="K613" s="285">
        <v>192.78</v>
      </c>
      <c r="L613" s="790"/>
      <c r="M613" s="924"/>
      <c r="N613" s="1161"/>
      <c r="O613" s="1036"/>
      <c r="P613" s="1036"/>
      <c r="Q613" s="537"/>
      <c r="R613" s="680"/>
      <c r="S613" s="924"/>
      <c r="T613" s="1353"/>
      <c r="U613" s="90"/>
    </row>
    <row r="614" spans="1:21" ht="17.25" customHeight="1">
      <c r="A614" s="1134"/>
      <c r="B614" s="1134"/>
      <c r="C614" s="354"/>
      <c r="D614" s="532"/>
      <c r="E614" s="1121"/>
      <c r="F614" s="1058"/>
      <c r="G614" s="63"/>
      <c r="H614" s="287">
        <v>37981.37</v>
      </c>
      <c r="I614" s="288">
        <v>37980.42</v>
      </c>
      <c r="J614" s="288">
        <v>6702.34</v>
      </c>
      <c r="K614" s="285">
        <v>6702.36</v>
      </c>
      <c r="L614" s="790"/>
      <c r="M614" s="924"/>
      <c r="N614" s="1161"/>
      <c r="O614" s="1036"/>
      <c r="P614" s="1036"/>
      <c r="Q614" s="537"/>
      <c r="R614" s="680"/>
      <c r="S614" s="924"/>
      <c r="T614" s="1353"/>
      <c r="U614" s="90"/>
    </row>
    <row r="615" spans="1:21" ht="18.75" customHeight="1" thickBot="1">
      <c r="A615" s="1128"/>
      <c r="B615" s="1128"/>
      <c r="C615" s="354"/>
      <c r="D615" s="354"/>
      <c r="E615" s="1146"/>
      <c r="F615" s="1107"/>
      <c r="G615" s="63"/>
      <c r="H615" s="282">
        <v>14338.52</v>
      </c>
      <c r="I615" s="283">
        <v>14338.52</v>
      </c>
      <c r="J615" s="283">
        <v>2530.32</v>
      </c>
      <c r="K615" s="284">
        <v>2530.32</v>
      </c>
      <c r="L615" s="1157"/>
      <c r="M615" s="1157"/>
      <c r="N615" s="1132"/>
      <c r="O615" s="1157"/>
      <c r="P615" s="1157"/>
      <c r="Q615" s="537"/>
      <c r="R615" s="680"/>
      <c r="S615" s="1157"/>
      <c r="T615" s="1354"/>
      <c r="U615" s="90"/>
    </row>
    <row r="616" spans="1:20" ht="17.25" customHeight="1">
      <c r="A616" s="941" t="s">
        <v>161</v>
      </c>
      <c r="B616" s="947" t="s">
        <v>162</v>
      </c>
      <c r="C616" s="265">
        <v>285376</v>
      </c>
      <c r="D616" s="417">
        <v>50361</v>
      </c>
      <c r="E616" s="61">
        <v>286456.36</v>
      </c>
      <c r="F616" s="80">
        <v>50551.14</v>
      </c>
      <c r="G616" s="348">
        <v>337007.5</v>
      </c>
      <c r="H616" s="318">
        <v>136066.75</v>
      </c>
      <c r="I616" s="323">
        <v>136066.75</v>
      </c>
      <c r="J616" s="340">
        <v>24011.79</v>
      </c>
      <c r="K616" s="334">
        <v>24011.79</v>
      </c>
      <c r="L616" s="1158">
        <f>SUM(H616:K617)</f>
        <v>336968.7299999999</v>
      </c>
      <c r="M616" s="1160">
        <f>L616/E617*100</f>
        <v>99.98849580498948</v>
      </c>
      <c r="N616" s="1160">
        <v>285376</v>
      </c>
      <c r="O616" s="1035">
        <f>N616/E616*100</f>
        <v>99.6228535473955</v>
      </c>
      <c r="P616" s="1403">
        <v>285376</v>
      </c>
      <c r="Q616" s="1345">
        <f>P616/E616*100</f>
        <v>99.6228535473955</v>
      </c>
      <c r="R616" s="450">
        <f>E616+F616</f>
        <v>337007.5</v>
      </c>
      <c r="S616" s="1345">
        <f>P616/E616*100</f>
        <v>99.6228535473955</v>
      </c>
      <c r="T616" s="1352">
        <f>(E616-N616)/E616*100/9</f>
        <v>0.0419051614005004</v>
      </c>
    </row>
    <row r="617" spans="1:20" ht="17.25" customHeight="1" thickBot="1">
      <c r="A617" s="1421"/>
      <c r="B617" s="1422"/>
      <c r="C617" s="1410">
        <f>SUM(C616:D616)</f>
        <v>335737</v>
      </c>
      <c r="D617" s="1411"/>
      <c r="E617" s="1410">
        <v>337007.5</v>
      </c>
      <c r="F617" s="1411"/>
      <c r="G617" s="394">
        <v>337007.5</v>
      </c>
      <c r="H617" s="349">
        <v>7144.73</v>
      </c>
      <c r="I617" s="341">
        <v>7144.73</v>
      </c>
      <c r="J617" s="341">
        <v>1261.1</v>
      </c>
      <c r="K617" s="341">
        <v>1261.09</v>
      </c>
      <c r="L617" s="1113"/>
      <c r="M617" s="1126"/>
      <c r="N617" s="1126"/>
      <c r="O617" s="1027"/>
      <c r="P617" s="1404"/>
      <c r="Q617" s="1347"/>
      <c r="R617" s="451">
        <f>E617</f>
        <v>337007.5</v>
      </c>
      <c r="S617" s="1347"/>
      <c r="T617" s="1354"/>
    </row>
    <row r="618" spans="1:21" s="93" customFormat="1" ht="16.5" customHeight="1">
      <c r="A618" s="1133" t="s">
        <v>217</v>
      </c>
      <c r="B618" s="1133" t="s">
        <v>218</v>
      </c>
      <c r="C618" s="265">
        <f>158006*2</f>
        <v>316012</v>
      </c>
      <c r="D618" s="313">
        <v>0</v>
      </c>
      <c r="E618" s="46">
        <v>316012</v>
      </c>
      <c r="F618" s="20">
        <v>0</v>
      </c>
      <c r="G618" s="38">
        <v>316012</v>
      </c>
      <c r="H618" s="25">
        <v>73295.05</v>
      </c>
      <c r="I618" s="19">
        <v>73295.05</v>
      </c>
      <c r="J618" s="19">
        <v>0</v>
      </c>
      <c r="K618" s="20">
        <v>0</v>
      </c>
      <c r="L618" s="789">
        <f>SUM(H618:K621)</f>
        <v>315710.28</v>
      </c>
      <c r="M618" s="923">
        <f>L618/E619*100</f>
        <v>99.90452261306534</v>
      </c>
      <c r="N618" s="1077">
        <v>315711</v>
      </c>
      <c r="O618" s="1251">
        <f>N618/E618*100</f>
        <v>99.90475045251446</v>
      </c>
      <c r="P618" s="1251">
        <f>146590+27991*2+40431*2+287*2+15852+15851</f>
        <v>315711</v>
      </c>
      <c r="Q618" s="315"/>
      <c r="R618" s="363">
        <f>E618+F618</f>
        <v>316012</v>
      </c>
      <c r="S618" s="920">
        <f>P618/E618*100</f>
        <v>99.90475045251446</v>
      </c>
      <c r="T618" s="1251">
        <f>(E622-N622)/E622*100/9</f>
        <v>0.009414498218975453</v>
      </c>
      <c r="U618" s="363"/>
    </row>
    <row r="619" spans="1:21" s="93" customFormat="1" ht="16.5" customHeight="1" thickBot="1">
      <c r="A619" s="1134"/>
      <c r="B619" s="1134"/>
      <c r="C619" s="1024">
        <f>C618+D618</f>
        <v>316012</v>
      </c>
      <c r="D619" s="1025"/>
      <c r="E619" s="1119">
        <v>316012</v>
      </c>
      <c r="F619" s="1120"/>
      <c r="G619" s="429">
        <v>316012</v>
      </c>
      <c r="H619" s="34">
        <v>27990.88</v>
      </c>
      <c r="I619" s="33">
        <v>27990.88</v>
      </c>
      <c r="J619" s="33">
        <v>0</v>
      </c>
      <c r="K619" s="35">
        <v>0</v>
      </c>
      <c r="L619" s="790"/>
      <c r="M619" s="924"/>
      <c r="N619" s="1075"/>
      <c r="O619" s="1252"/>
      <c r="P619" s="1252"/>
      <c r="Q619" s="315"/>
      <c r="R619" s="363">
        <f>E619</f>
        <v>316012</v>
      </c>
      <c r="S619" s="921"/>
      <c r="T619" s="1252"/>
      <c r="U619" s="363"/>
    </row>
    <row r="620" spans="1:21" s="93" customFormat="1" ht="16.5" customHeight="1">
      <c r="A620" s="1134"/>
      <c r="B620" s="1134"/>
      <c r="C620" s="354"/>
      <c r="D620" s="354"/>
      <c r="E620" s="1121"/>
      <c r="F620" s="1122"/>
      <c r="G620" s="362"/>
      <c r="H620" s="34">
        <v>41303.31</v>
      </c>
      <c r="I620" s="33">
        <v>41303.31</v>
      </c>
      <c r="J620" s="33">
        <v>0</v>
      </c>
      <c r="K620" s="35">
        <v>0</v>
      </c>
      <c r="L620" s="790"/>
      <c r="M620" s="924"/>
      <c r="N620" s="1075"/>
      <c r="O620" s="1252"/>
      <c r="P620" s="1252"/>
      <c r="Q620" s="315"/>
      <c r="R620" s="363"/>
      <c r="S620" s="921"/>
      <c r="T620" s="1252"/>
      <c r="U620" s="363"/>
    </row>
    <row r="621" spans="1:21" s="93" customFormat="1" ht="16.5" customHeight="1" thickBot="1">
      <c r="A621" s="1090"/>
      <c r="B621" s="1090"/>
      <c r="C621" s="354"/>
      <c r="D621" s="354"/>
      <c r="E621" s="905"/>
      <c r="F621" s="906"/>
      <c r="G621" s="362"/>
      <c r="H621" s="26">
        <v>15265.9</v>
      </c>
      <c r="I621" s="27">
        <v>15265.9</v>
      </c>
      <c r="J621" s="27">
        <v>0</v>
      </c>
      <c r="K621" s="48">
        <v>0</v>
      </c>
      <c r="L621" s="766"/>
      <c r="M621" s="927"/>
      <c r="N621" s="1076"/>
      <c r="O621" s="1253"/>
      <c r="P621" s="1253"/>
      <c r="Q621" s="315"/>
      <c r="R621" s="363"/>
      <c r="S621" s="922"/>
      <c r="T621" s="1252"/>
      <c r="U621" s="363"/>
    </row>
    <row r="622" spans="1:21" s="93" customFormat="1" ht="16.5" customHeight="1">
      <c r="A622" s="1133" t="s">
        <v>207</v>
      </c>
      <c r="B622" s="1133" t="s">
        <v>208</v>
      </c>
      <c r="C622" s="312">
        <f>923517+923516</f>
        <v>1847033</v>
      </c>
      <c r="D622" s="313">
        <f>162973.5*2</f>
        <v>325947</v>
      </c>
      <c r="E622" s="312">
        <v>1847033</v>
      </c>
      <c r="F622" s="267">
        <v>325947</v>
      </c>
      <c r="G622" s="317">
        <v>2172980</v>
      </c>
      <c r="H622" s="265">
        <v>14038.98</v>
      </c>
      <c r="I622" s="266">
        <v>14038.98</v>
      </c>
      <c r="J622" s="266">
        <v>2477.47</v>
      </c>
      <c r="K622" s="267">
        <v>2477.47</v>
      </c>
      <c r="L622" s="789">
        <f>SUM(H622:K630)</f>
        <v>2171138.4499999997</v>
      </c>
      <c r="M622" s="923">
        <f>L622/E623*100</f>
        <v>99.91525232629843</v>
      </c>
      <c r="N622" s="1160">
        <v>1845468</v>
      </c>
      <c r="O622" s="1035">
        <f>N622/E622*100</f>
        <v>99.91526951602923</v>
      </c>
      <c r="P622" s="1160">
        <f>1722222+7298+7299+54325+54324</f>
        <v>1845468</v>
      </c>
      <c r="Q622" s="537">
        <v>2477.47</v>
      </c>
      <c r="R622" s="538">
        <f>E622+F622</f>
        <v>2172980</v>
      </c>
      <c r="S622" s="923">
        <f>P622/E622*100</f>
        <v>99.91526951602923</v>
      </c>
      <c r="T622" s="1252"/>
      <c r="U622" s="363"/>
    </row>
    <row r="623" spans="1:21" s="93" customFormat="1" ht="16.5" customHeight="1">
      <c r="A623" s="1134"/>
      <c r="B623" s="1134"/>
      <c r="C623" s="1119">
        <f>C622+D622</f>
        <v>2172980</v>
      </c>
      <c r="D623" s="1413"/>
      <c r="E623" s="1119">
        <v>2172980</v>
      </c>
      <c r="F623" s="1120"/>
      <c r="G623" s="1405">
        <v>2172980</v>
      </c>
      <c r="H623" s="282">
        <v>78891.28</v>
      </c>
      <c r="I623" s="283">
        <v>78891.28</v>
      </c>
      <c r="J623" s="283">
        <v>13922</v>
      </c>
      <c r="K623" s="284">
        <v>13921.99</v>
      </c>
      <c r="L623" s="790"/>
      <c r="M623" s="924"/>
      <c r="N623" s="1161"/>
      <c r="O623" s="1036"/>
      <c r="P623" s="1161"/>
      <c r="Q623" s="537"/>
      <c r="R623" s="538"/>
      <c r="S623" s="924"/>
      <c r="T623" s="1252"/>
      <c r="U623" s="363"/>
    </row>
    <row r="624" spans="1:21" s="93" customFormat="1" ht="16.5" customHeight="1">
      <c r="A624" s="1134"/>
      <c r="B624" s="1134"/>
      <c r="C624" s="1414"/>
      <c r="D624" s="1415"/>
      <c r="E624" s="1121"/>
      <c r="F624" s="1122"/>
      <c r="G624" s="1406"/>
      <c r="H624" s="287">
        <v>143061.15</v>
      </c>
      <c r="I624" s="288">
        <v>143061.15</v>
      </c>
      <c r="J624" s="288">
        <v>25246.09</v>
      </c>
      <c r="K624" s="285">
        <v>25246.08</v>
      </c>
      <c r="L624" s="790"/>
      <c r="M624" s="924"/>
      <c r="N624" s="1161"/>
      <c r="O624" s="1036"/>
      <c r="P624" s="1161"/>
      <c r="Q624" s="537"/>
      <c r="R624" s="538"/>
      <c r="S624" s="924"/>
      <c r="T624" s="1252"/>
      <c r="U624" s="363"/>
    </row>
    <row r="625" spans="1:21" s="93" customFormat="1" ht="16.5" customHeight="1" thickBot="1">
      <c r="A625" s="1134"/>
      <c r="B625" s="1134"/>
      <c r="C625" s="1414"/>
      <c r="D625" s="1415"/>
      <c r="E625" s="1121"/>
      <c r="F625" s="1122"/>
      <c r="G625" s="1406"/>
      <c r="H625" s="287">
        <v>69966.19</v>
      </c>
      <c r="I625" s="288">
        <v>69966.19</v>
      </c>
      <c r="J625" s="288">
        <v>12346.98</v>
      </c>
      <c r="K625" s="285">
        <v>12346.98</v>
      </c>
      <c r="L625" s="790"/>
      <c r="M625" s="924"/>
      <c r="N625" s="1161"/>
      <c r="O625" s="1036"/>
      <c r="P625" s="1161"/>
      <c r="Q625" s="537"/>
      <c r="R625" s="538"/>
      <c r="S625" s="924"/>
      <c r="T625" s="1253"/>
      <c r="U625" s="363"/>
    </row>
    <row r="626" spans="1:21" s="93" customFormat="1" ht="18.75" customHeight="1">
      <c r="A626" s="1134"/>
      <c r="B626" s="1134"/>
      <c r="C626" s="1414"/>
      <c r="D626" s="1415"/>
      <c r="E626" s="1121"/>
      <c r="F626" s="1122"/>
      <c r="G626" s="1406"/>
      <c r="H626" s="287">
        <v>95531.58</v>
      </c>
      <c r="I626" s="288">
        <v>95531.58</v>
      </c>
      <c r="J626" s="288">
        <v>16858.52</v>
      </c>
      <c r="K626" s="285">
        <v>16858.51</v>
      </c>
      <c r="L626" s="790"/>
      <c r="M626" s="924"/>
      <c r="N626" s="1161"/>
      <c r="O626" s="1036"/>
      <c r="P626" s="1161"/>
      <c r="Q626" s="537"/>
      <c r="R626" s="538"/>
      <c r="S626" s="924"/>
      <c r="T626" s="1251">
        <f>(E618-N618)/E618*100/9</f>
        <v>0.010583283053948725</v>
      </c>
      <c r="U626" s="363"/>
    </row>
    <row r="627" spans="1:21" s="93" customFormat="1" ht="18.75" customHeight="1" thickBot="1">
      <c r="A627" s="1134"/>
      <c r="B627" s="1134"/>
      <c r="C627" s="1414"/>
      <c r="D627" s="1415"/>
      <c r="E627" s="1121"/>
      <c r="F627" s="1122"/>
      <c r="G627" s="1407"/>
      <c r="H627" s="287">
        <v>57850.88</v>
      </c>
      <c r="I627" s="288">
        <v>57850.88</v>
      </c>
      <c r="J627" s="288">
        <v>10208.98</v>
      </c>
      <c r="K627" s="285">
        <v>10208.98</v>
      </c>
      <c r="L627" s="790"/>
      <c r="M627" s="924"/>
      <c r="N627" s="1161"/>
      <c r="O627" s="1036"/>
      <c r="P627" s="1161"/>
      <c r="Q627" s="537"/>
      <c r="R627" s="538">
        <f>E623</f>
        <v>2172980</v>
      </c>
      <c r="S627" s="924"/>
      <c r="T627" s="1253"/>
      <c r="U627" s="363"/>
    </row>
    <row r="628" spans="1:21" s="93" customFormat="1" ht="18.75" customHeight="1">
      <c r="A628" s="1134"/>
      <c r="B628" s="1134"/>
      <c r="C628" s="1414"/>
      <c r="D628" s="1415"/>
      <c r="E628" s="1121"/>
      <c r="F628" s="1122"/>
      <c r="G628" s="434"/>
      <c r="H628" s="287">
        <v>187822.18</v>
      </c>
      <c r="I628" s="288">
        <v>187822.18</v>
      </c>
      <c r="J628" s="288">
        <v>33145.09</v>
      </c>
      <c r="K628" s="285">
        <v>33145.09</v>
      </c>
      <c r="L628" s="790"/>
      <c r="M628" s="924"/>
      <c r="N628" s="1161"/>
      <c r="O628" s="1036"/>
      <c r="P628" s="1161"/>
      <c r="Q628" s="537"/>
      <c r="R628" s="538"/>
      <c r="S628" s="924"/>
      <c r="T628" s="588"/>
      <c r="U628" s="363"/>
    </row>
    <row r="629" spans="1:21" s="93" customFormat="1" ht="18.75" customHeight="1" thickBot="1">
      <c r="A629" s="1134"/>
      <c r="B629" s="1134"/>
      <c r="C629" s="582"/>
      <c r="D629" s="584"/>
      <c r="E629" s="1121"/>
      <c r="F629" s="1122"/>
      <c r="G629" s="434"/>
      <c r="H629" s="287">
        <f>IP_čerapanie!H430</f>
        <v>230178.42</v>
      </c>
      <c r="I629" s="288">
        <f>IP_čerapanie!I430</f>
        <v>230178.42</v>
      </c>
      <c r="J629" s="288">
        <f>IP_čerapanie!J430</f>
        <v>40619.73</v>
      </c>
      <c r="K629" s="285">
        <f>IP_čerapanie!K430</f>
        <v>40619.72</v>
      </c>
      <c r="L629" s="790"/>
      <c r="M629" s="924"/>
      <c r="N629" s="1161"/>
      <c r="O629" s="1036"/>
      <c r="P629" s="1161"/>
      <c r="Q629" s="537"/>
      <c r="R629" s="538"/>
      <c r="S629" s="924"/>
      <c r="T629" s="588"/>
      <c r="U629" s="363"/>
    </row>
    <row r="630" spans="1:21" ht="17.25" customHeight="1" thickBot="1">
      <c r="A630" s="1128"/>
      <c r="B630" s="1128"/>
      <c r="C630" s="582"/>
      <c r="D630" s="584"/>
      <c r="E630" s="1146"/>
      <c r="F630" s="1147"/>
      <c r="G630" s="434"/>
      <c r="H630" s="282">
        <v>45393.16</v>
      </c>
      <c r="I630" s="283">
        <v>45393.16</v>
      </c>
      <c r="J630" s="283">
        <v>8010.55</v>
      </c>
      <c r="K630" s="284">
        <v>8010.58</v>
      </c>
      <c r="L630" s="1157"/>
      <c r="M630" s="1157"/>
      <c r="N630" s="1132"/>
      <c r="O630" s="1157"/>
      <c r="P630" s="1157"/>
      <c r="Q630" s="537"/>
      <c r="R630" s="538"/>
      <c r="S630" s="1157"/>
      <c r="T630" s="1367">
        <f>(E631-N631)/E631*100/9</f>
        <v>0.0028910903728567913</v>
      </c>
      <c r="U630" s="90"/>
    </row>
    <row r="631" spans="1:21" ht="17.25" customHeight="1">
      <c r="A631" s="1133" t="s">
        <v>170</v>
      </c>
      <c r="B631" s="1133" t="s">
        <v>171</v>
      </c>
      <c r="C631" s="261">
        <f>443893+443892</f>
        <v>887785</v>
      </c>
      <c r="D631" s="193">
        <f>78334+78334</f>
        <v>156668</v>
      </c>
      <c r="E631" s="261">
        <v>887785</v>
      </c>
      <c r="F631" s="193">
        <v>156668</v>
      </c>
      <c r="G631" s="370">
        <v>1044453</v>
      </c>
      <c r="H631" s="265">
        <v>158555.06</v>
      </c>
      <c r="I631" s="266">
        <v>158555.06</v>
      </c>
      <c r="J631" s="266">
        <v>27980.32</v>
      </c>
      <c r="K631" s="267">
        <v>27980.31</v>
      </c>
      <c r="L631" s="789">
        <f>SUM(H631:K634)</f>
        <v>1044181.7899999998</v>
      </c>
      <c r="M631" s="1217">
        <f>L631/E632*100</f>
        <v>99.97403329781233</v>
      </c>
      <c r="N631" s="1160">
        <v>887554</v>
      </c>
      <c r="O631" s="1035">
        <f>N631/E631*100</f>
        <v>99.97398018664428</v>
      </c>
      <c r="P631" s="1035">
        <f>887554</f>
        <v>887554</v>
      </c>
      <c r="Q631" s="1339">
        <f>P631/E631*100</f>
        <v>99.97398018664428</v>
      </c>
      <c r="R631" s="523">
        <f>E631+F631</f>
        <v>1044453</v>
      </c>
      <c r="S631" s="923">
        <f>P631/E631*100</f>
        <v>99.97398018664428</v>
      </c>
      <c r="T631" s="1368"/>
      <c r="U631" s="90"/>
    </row>
    <row r="632" spans="1:21" ht="17.25" customHeight="1" thickBot="1">
      <c r="A632" s="1134"/>
      <c r="B632" s="1134"/>
      <c r="C632" s="1148">
        <f>C631+D631</f>
        <v>1044453</v>
      </c>
      <c r="D632" s="1149"/>
      <c r="E632" s="1135">
        <v>1044453</v>
      </c>
      <c r="F632" s="1136"/>
      <c r="G632" s="1412">
        <v>1044453</v>
      </c>
      <c r="H632" s="287">
        <v>156010.87</v>
      </c>
      <c r="I632" s="288">
        <v>156010.87</v>
      </c>
      <c r="J632" s="288">
        <v>27531.33</v>
      </c>
      <c r="K632" s="285">
        <v>27531.33</v>
      </c>
      <c r="L632" s="790"/>
      <c r="M632" s="1218"/>
      <c r="N632" s="1161"/>
      <c r="O632" s="1036"/>
      <c r="P632" s="1036"/>
      <c r="Q632" s="1340"/>
      <c r="R632" s="273"/>
      <c r="S632" s="924"/>
      <c r="T632" s="1369"/>
      <c r="U632" s="90"/>
    </row>
    <row r="633" spans="1:21" ht="17.25" customHeight="1" thickBot="1">
      <c r="A633" s="1134"/>
      <c r="B633" s="1134"/>
      <c r="C633" s="1152"/>
      <c r="D633" s="1153"/>
      <c r="E633" s="1137"/>
      <c r="F633" s="1138"/>
      <c r="G633" s="1015"/>
      <c r="H633" s="287">
        <v>107131.96</v>
      </c>
      <c r="I633" s="288">
        <v>107131.96</v>
      </c>
      <c r="J633" s="288">
        <v>18905.64</v>
      </c>
      <c r="K633" s="285">
        <v>18905.64</v>
      </c>
      <c r="L633" s="790"/>
      <c r="M633" s="1218"/>
      <c r="N633" s="1161"/>
      <c r="O633" s="1036"/>
      <c r="P633" s="1036"/>
      <c r="Q633" s="524"/>
      <c r="R633" s="525">
        <f>E632</f>
        <v>1044453</v>
      </c>
      <c r="S633" s="924"/>
      <c r="T633" s="587"/>
      <c r="U633" s="90"/>
    </row>
    <row r="634" spans="1:20" ht="16.5" customHeight="1" thickBot="1">
      <c r="A634" s="1090"/>
      <c r="B634" s="1090"/>
      <c r="C634" s="578"/>
      <c r="D634" s="746"/>
      <c r="E634" s="1139"/>
      <c r="F634" s="1140"/>
      <c r="G634" s="391"/>
      <c r="H634" s="282">
        <v>22079.36</v>
      </c>
      <c r="I634" s="283">
        <v>22079.36</v>
      </c>
      <c r="J634" s="283">
        <v>3896.37</v>
      </c>
      <c r="K634" s="284">
        <v>3896.35</v>
      </c>
      <c r="L634" s="766"/>
      <c r="M634" s="1457"/>
      <c r="N634" s="1126"/>
      <c r="O634" s="1027"/>
      <c r="P634" s="1027"/>
      <c r="Q634" s="315"/>
      <c r="R634" s="273"/>
      <c r="S634" s="927"/>
      <c r="T634" s="1367">
        <f>(E635-N635)/E635*100/9</f>
        <v>0</v>
      </c>
    </row>
    <row r="635" spans="1:20" ht="16.5" customHeight="1">
      <c r="A635" s="1133" t="s">
        <v>205</v>
      </c>
      <c r="B635" s="1133" t="s">
        <v>204</v>
      </c>
      <c r="C635" s="412">
        <v>666643</v>
      </c>
      <c r="D635" s="11">
        <v>117643</v>
      </c>
      <c r="E635" s="79">
        <v>666643</v>
      </c>
      <c r="F635" s="80">
        <v>117643</v>
      </c>
      <c r="G635" s="348">
        <v>784286</v>
      </c>
      <c r="H635" s="25">
        <v>262924.01</v>
      </c>
      <c r="I635" s="19">
        <v>262924.01</v>
      </c>
      <c r="J635" s="19">
        <v>46398.36</v>
      </c>
      <c r="K635" s="39">
        <v>46398.35</v>
      </c>
      <c r="L635" s="789">
        <f>SUM(H635:K638)</f>
        <v>784285.94</v>
      </c>
      <c r="M635" s="1160">
        <f>L635/E636*100</f>
        <v>99.99999234972957</v>
      </c>
      <c r="N635" s="1160">
        <f>627429+39214</f>
        <v>666643</v>
      </c>
      <c r="O635" s="1035">
        <f>N635/E635*100</f>
        <v>100</v>
      </c>
      <c r="P635" s="1035">
        <f>264815+264816+48899*2+19607*2</f>
        <v>666643</v>
      </c>
      <c r="Q635" s="314"/>
      <c r="R635" s="292">
        <f>E635+F635</f>
        <v>784286</v>
      </c>
      <c r="S635" s="923">
        <f>P635/E635*100</f>
        <v>100</v>
      </c>
      <c r="T635" s="1368"/>
    </row>
    <row r="636" spans="1:20" ht="16.5" customHeight="1" thickBot="1">
      <c r="A636" s="1134"/>
      <c r="B636" s="1134"/>
      <c r="C636" s="1419">
        <f>SUM(C635:D635)</f>
        <v>784286</v>
      </c>
      <c r="D636" s="1420"/>
      <c r="E636" s="1129">
        <v>784286</v>
      </c>
      <c r="F636" s="1130"/>
      <c r="G636" s="379">
        <v>784286</v>
      </c>
      <c r="H636" s="34">
        <v>1891.25</v>
      </c>
      <c r="I636" s="33">
        <v>1891.25</v>
      </c>
      <c r="J636" s="33">
        <v>333.75</v>
      </c>
      <c r="K636" s="43">
        <v>333.75</v>
      </c>
      <c r="L636" s="790"/>
      <c r="M636" s="1161"/>
      <c r="N636" s="1161"/>
      <c r="O636" s="1036"/>
      <c r="P636" s="1036"/>
      <c r="Q636" s="314"/>
      <c r="R636" s="292">
        <f>E636</f>
        <v>784286</v>
      </c>
      <c r="S636" s="924"/>
      <c r="T636" s="1369"/>
    </row>
    <row r="637" spans="1:20" ht="16.5" customHeight="1" thickBot="1">
      <c r="A637" s="1134"/>
      <c r="B637" s="1134"/>
      <c r="C637" s="45"/>
      <c r="D637" s="583"/>
      <c r="E637" s="1131"/>
      <c r="F637" s="1118"/>
      <c r="G637" s="379"/>
      <c r="H637" s="34">
        <f>IP_čerapanie!H109</f>
        <v>51840.21</v>
      </c>
      <c r="I637" s="33">
        <f>IP_čerapanie!I109</f>
        <v>51840.21</v>
      </c>
      <c r="J637" s="33">
        <f>IP_čerapanie!J109</f>
        <v>9148.27</v>
      </c>
      <c r="K637" s="43">
        <f>IP_čerapanie!K109</f>
        <v>9148.27</v>
      </c>
      <c r="L637" s="790"/>
      <c r="M637" s="1161"/>
      <c r="N637" s="1161"/>
      <c r="O637" s="1036"/>
      <c r="P637" s="1036"/>
      <c r="Q637" s="314"/>
      <c r="R637" s="292"/>
      <c r="S637" s="924"/>
      <c r="T637" s="587"/>
    </row>
    <row r="638" spans="1:21" s="92" customFormat="1" ht="18.75" customHeight="1" thickBot="1">
      <c r="A638" s="1128"/>
      <c r="B638" s="1128"/>
      <c r="C638" s="45"/>
      <c r="D638" s="583"/>
      <c r="E638" s="1146"/>
      <c r="F638" s="1147"/>
      <c r="G638" s="379"/>
      <c r="H638" s="30">
        <v>16666.05</v>
      </c>
      <c r="I638" s="31">
        <v>16666.05</v>
      </c>
      <c r="J638" s="31">
        <v>2941.08</v>
      </c>
      <c r="K638" s="40">
        <v>2941.07</v>
      </c>
      <c r="L638" s="925"/>
      <c r="M638" s="1157"/>
      <c r="N638" s="1132"/>
      <c r="O638" s="1157"/>
      <c r="P638" s="1157"/>
      <c r="Q638" s="314"/>
      <c r="R638" s="292"/>
      <c r="S638" s="1157"/>
      <c r="T638" s="1348">
        <f>(C639/9)/C639*100</f>
        <v>11.11111111111111</v>
      </c>
      <c r="U638" s="538"/>
    </row>
    <row r="639" spans="1:21" s="92" customFormat="1" ht="18.75" customHeight="1" thickBot="1">
      <c r="A639" s="1133" t="s">
        <v>241</v>
      </c>
      <c r="B639" s="1133" t="s">
        <v>240</v>
      </c>
      <c r="C639" s="265">
        <f>165570+165569</f>
        <v>331139</v>
      </c>
      <c r="D639" s="267">
        <v>0</v>
      </c>
      <c r="E639" s="46">
        <v>331139</v>
      </c>
      <c r="F639" s="20">
        <v>0</v>
      </c>
      <c r="G639" s="38">
        <v>331139</v>
      </c>
      <c r="H639" s="25">
        <v>4808.63</v>
      </c>
      <c r="I639" s="19">
        <v>4806.34</v>
      </c>
      <c r="J639" s="19">
        <v>0</v>
      </c>
      <c r="K639" s="20">
        <v>0</v>
      </c>
      <c r="L639" s="789">
        <f>SUM(H639:K640)</f>
        <v>331138.3</v>
      </c>
      <c r="M639" s="923">
        <f>L639/E640*100</f>
        <v>99.99978860840916</v>
      </c>
      <c r="N639" s="1077">
        <f>9615+141103*2+39318</f>
        <v>331139</v>
      </c>
      <c r="O639" s="1251">
        <f>N639/E639*100</f>
        <v>100</v>
      </c>
      <c r="P639" s="1251">
        <v>331139</v>
      </c>
      <c r="Q639" s="537"/>
      <c r="R639" s="538">
        <f>E639</f>
        <v>331139</v>
      </c>
      <c r="S639" s="1345">
        <f>P639/E639*100</f>
        <v>100</v>
      </c>
      <c r="T639" s="1349"/>
      <c r="U639" s="538"/>
    </row>
    <row r="640" spans="1:21" s="93" customFormat="1" ht="18.75" customHeight="1" thickBot="1">
      <c r="A640" s="1090"/>
      <c r="B640" s="1090"/>
      <c r="C640" s="1024">
        <f>C639</f>
        <v>331139</v>
      </c>
      <c r="D640" s="1025"/>
      <c r="E640" s="1419">
        <v>331139</v>
      </c>
      <c r="F640" s="1458"/>
      <c r="G640" s="422">
        <v>331139</v>
      </c>
      <c r="H640" s="14">
        <v>160761.02</v>
      </c>
      <c r="I640" s="15">
        <v>160762.31</v>
      </c>
      <c r="J640" s="15">
        <v>0</v>
      </c>
      <c r="K640" s="16">
        <v>0</v>
      </c>
      <c r="L640" s="766"/>
      <c r="M640" s="927"/>
      <c r="N640" s="1076"/>
      <c r="O640" s="1253"/>
      <c r="P640" s="1253"/>
      <c r="Q640" s="537"/>
      <c r="R640" s="538">
        <f>E640</f>
        <v>331139</v>
      </c>
      <c r="S640" s="1347"/>
      <c r="T640" s="1348">
        <f>(E641-N641)/E641*100/9</f>
        <v>0</v>
      </c>
      <c r="U640" s="363"/>
    </row>
    <row r="641" spans="1:21" s="93" customFormat="1" ht="18.75" customHeight="1" thickBot="1">
      <c r="A641" s="1133" t="s">
        <v>264</v>
      </c>
      <c r="B641" s="1133" t="s">
        <v>233</v>
      </c>
      <c r="C641" s="265">
        <f>116958*2</f>
        <v>233916</v>
      </c>
      <c r="D641" s="313">
        <v>0</v>
      </c>
      <c r="E641" s="25">
        <v>233916</v>
      </c>
      <c r="F641" s="39">
        <v>0</v>
      </c>
      <c r="G641" s="38">
        <v>233916</v>
      </c>
      <c r="H641" s="25">
        <v>56694.43</v>
      </c>
      <c r="I641" s="19">
        <v>56694.43</v>
      </c>
      <c r="J641" s="19">
        <v>0</v>
      </c>
      <c r="K641" s="20">
        <v>0</v>
      </c>
      <c r="L641" s="789">
        <f>SUM(H641:K642)</f>
        <v>233916</v>
      </c>
      <c r="M641" s="923">
        <f>L641/E642*100</f>
        <v>100</v>
      </c>
      <c r="N641" s="1160">
        <f>203834+30082</f>
        <v>233916</v>
      </c>
      <c r="O641" s="1035">
        <f>N641/E641*100</f>
        <v>100</v>
      </c>
      <c r="P641" s="1035">
        <f>56695+56694+45222+45223+15041*2</f>
        <v>233916</v>
      </c>
      <c r="Q641" s="539"/>
      <c r="R641" s="523">
        <f>E641+F641</f>
        <v>233916</v>
      </c>
      <c r="S641" s="1345">
        <f>P641/E641*100</f>
        <v>100</v>
      </c>
      <c r="T641" s="1349"/>
      <c r="U641" s="363"/>
    </row>
    <row r="642" spans="1:21" ht="18.75" customHeight="1" thickBot="1">
      <c r="A642" s="1090"/>
      <c r="B642" s="1090"/>
      <c r="C642" s="1024">
        <f>C641+D641</f>
        <v>233916</v>
      </c>
      <c r="D642" s="1025"/>
      <c r="E642" s="1419">
        <v>233916</v>
      </c>
      <c r="F642" s="946"/>
      <c r="G642" s="540">
        <v>233916</v>
      </c>
      <c r="H642" s="14">
        <v>60263.57</v>
      </c>
      <c r="I642" s="15">
        <v>60263.57</v>
      </c>
      <c r="J642" s="15">
        <v>0</v>
      </c>
      <c r="K642" s="16">
        <v>0</v>
      </c>
      <c r="L642" s="766"/>
      <c r="M642" s="927"/>
      <c r="N642" s="1126"/>
      <c r="O642" s="1027"/>
      <c r="P642" s="1027"/>
      <c r="Q642" s="524"/>
      <c r="R642" s="525">
        <f>E642</f>
        <v>233916</v>
      </c>
      <c r="S642" s="1347"/>
      <c r="T642" s="1367">
        <f>(E643-N643)/E643*100/9</f>
        <v>4.134705393971269E-05</v>
      </c>
      <c r="U642" s="90"/>
    </row>
    <row r="643" spans="1:21" ht="15.75" customHeight="1">
      <c r="A643" s="1133" t="s">
        <v>185</v>
      </c>
      <c r="B643" s="1133" t="s">
        <v>186</v>
      </c>
      <c r="C643" s="261">
        <f>269916+269915</f>
        <v>539831</v>
      </c>
      <c r="D643" s="193">
        <f>47632*2</f>
        <v>95264</v>
      </c>
      <c r="E643" s="261">
        <v>537456</v>
      </c>
      <c r="F643" s="193">
        <v>94845</v>
      </c>
      <c r="G643" s="370">
        <v>635095</v>
      </c>
      <c r="H643" s="265">
        <v>77525.69</v>
      </c>
      <c r="I643" s="266">
        <v>77525.69</v>
      </c>
      <c r="J643" s="266">
        <v>13681</v>
      </c>
      <c r="K643" s="267">
        <v>13681</v>
      </c>
      <c r="L643" s="789">
        <f>SUM(H643:K651)</f>
        <v>632296.4099999999</v>
      </c>
      <c r="M643" s="1217">
        <f>L643/E644*100</f>
        <v>99.99927407990813</v>
      </c>
      <c r="N643" s="1160">
        <v>537454</v>
      </c>
      <c r="O643" s="1035">
        <f>N643/E643*100</f>
        <v>99.99962787651454</v>
      </c>
      <c r="P643" s="1035">
        <f>505699+15878+15877</f>
        <v>537454</v>
      </c>
      <c r="Q643" s="1304">
        <f>P643/E643*100</f>
        <v>99.99962787651454</v>
      </c>
      <c r="R643" s="363">
        <f>E643+F643</f>
        <v>632301</v>
      </c>
      <c r="S643" s="920">
        <f>P643/E643*100</f>
        <v>99.99962787651454</v>
      </c>
      <c r="T643" s="1368"/>
      <c r="U643" s="90"/>
    </row>
    <row r="644" spans="1:21" ht="15.75" customHeight="1" thickBot="1">
      <c r="A644" s="1134"/>
      <c r="B644" s="1134"/>
      <c r="C644" s="1148">
        <f>C643+D643</f>
        <v>635095</v>
      </c>
      <c r="D644" s="1149"/>
      <c r="E644" s="1135">
        <f>E643+F643</f>
        <v>632301</v>
      </c>
      <c r="F644" s="1136"/>
      <c r="G644" s="1091">
        <v>635095</v>
      </c>
      <c r="H644" s="287">
        <v>70159.09</v>
      </c>
      <c r="I644" s="288">
        <v>70159.09</v>
      </c>
      <c r="J644" s="288">
        <v>12381.02</v>
      </c>
      <c r="K644" s="285">
        <v>12381.01</v>
      </c>
      <c r="L644" s="790"/>
      <c r="M644" s="1218"/>
      <c r="N644" s="1161"/>
      <c r="O644" s="1036"/>
      <c r="P644" s="1036"/>
      <c r="Q644" s="1307"/>
      <c r="R644" s="363"/>
      <c r="S644" s="921"/>
      <c r="T644" s="1368"/>
      <c r="U644" s="90"/>
    </row>
    <row r="645" spans="1:21" ht="15.75" customHeight="1">
      <c r="A645" s="1134"/>
      <c r="B645" s="1134"/>
      <c r="C645" s="1150"/>
      <c r="D645" s="1151"/>
      <c r="E645" s="1137"/>
      <c r="F645" s="1138"/>
      <c r="G645" s="1092"/>
      <c r="H645" s="287">
        <v>2710.79</v>
      </c>
      <c r="I645" s="288">
        <v>2710.79</v>
      </c>
      <c r="J645" s="288">
        <v>478.39</v>
      </c>
      <c r="K645" s="285">
        <v>478.38</v>
      </c>
      <c r="L645" s="790"/>
      <c r="M645" s="1218"/>
      <c r="N645" s="1161"/>
      <c r="O645" s="1036"/>
      <c r="P645" s="1036"/>
      <c r="Q645" s="315"/>
      <c r="R645" s="363"/>
      <c r="S645" s="921"/>
      <c r="T645" s="1368"/>
      <c r="U645" s="90"/>
    </row>
    <row r="646" spans="1:21" ht="15.75" customHeight="1">
      <c r="A646" s="1134"/>
      <c r="B646" s="1134"/>
      <c r="C646" s="1150"/>
      <c r="D646" s="1151"/>
      <c r="E646" s="1137"/>
      <c r="F646" s="1138"/>
      <c r="G646" s="1092"/>
      <c r="H646" s="287">
        <v>54858.61</v>
      </c>
      <c r="I646" s="288">
        <v>54858.61</v>
      </c>
      <c r="J646" s="288">
        <v>9680.94</v>
      </c>
      <c r="K646" s="285">
        <v>9680.93</v>
      </c>
      <c r="L646" s="790"/>
      <c r="M646" s="1218"/>
      <c r="N646" s="1161"/>
      <c r="O646" s="1036"/>
      <c r="P646" s="1036"/>
      <c r="Q646" s="315"/>
      <c r="R646" s="363"/>
      <c r="S646" s="921"/>
      <c r="T646" s="1368"/>
      <c r="U646" s="90"/>
    </row>
    <row r="647" spans="1:21" ht="15.75" customHeight="1">
      <c r="A647" s="1134"/>
      <c r="B647" s="1134"/>
      <c r="C647" s="1150"/>
      <c r="D647" s="1151"/>
      <c r="E647" s="1137"/>
      <c r="F647" s="1138"/>
      <c r="G647" s="1092"/>
      <c r="H647" s="287">
        <v>5783.91</v>
      </c>
      <c r="I647" s="288">
        <v>5783.91</v>
      </c>
      <c r="J647" s="288">
        <v>1020.69</v>
      </c>
      <c r="K647" s="285">
        <v>1020.69</v>
      </c>
      <c r="L647" s="790"/>
      <c r="M647" s="1218"/>
      <c r="N647" s="1161"/>
      <c r="O647" s="1036"/>
      <c r="P647" s="1036"/>
      <c r="Q647" s="315"/>
      <c r="R647" s="538"/>
      <c r="S647" s="921"/>
      <c r="T647" s="1368"/>
      <c r="U647" s="90"/>
    </row>
    <row r="648" spans="1:21" ht="15.75" customHeight="1">
      <c r="A648" s="1134"/>
      <c r="B648" s="1134"/>
      <c r="C648" s="1150"/>
      <c r="D648" s="1151"/>
      <c r="E648" s="1137"/>
      <c r="F648" s="1138"/>
      <c r="G648" s="1092"/>
      <c r="H648" s="287">
        <v>25349.07</v>
      </c>
      <c r="I648" s="288">
        <v>25349.07</v>
      </c>
      <c r="J648" s="288">
        <v>4473.37</v>
      </c>
      <c r="K648" s="285">
        <v>4473.37</v>
      </c>
      <c r="L648" s="790"/>
      <c r="M648" s="1218"/>
      <c r="N648" s="1161"/>
      <c r="O648" s="1036"/>
      <c r="P648" s="1036"/>
      <c r="Q648" s="315"/>
      <c r="R648" s="538"/>
      <c r="S648" s="921"/>
      <c r="T648" s="1368"/>
      <c r="U648" s="90"/>
    </row>
    <row r="649" spans="1:21" ht="15.75" customHeight="1" thickBot="1">
      <c r="A649" s="1134"/>
      <c r="B649" s="1134"/>
      <c r="C649" s="1152"/>
      <c r="D649" s="1153"/>
      <c r="E649" s="1137"/>
      <c r="F649" s="1138"/>
      <c r="G649" s="1081"/>
      <c r="H649" s="287">
        <v>18623.64</v>
      </c>
      <c r="I649" s="288">
        <v>18623.64</v>
      </c>
      <c r="J649" s="288">
        <v>3286.54</v>
      </c>
      <c r="K649" s="285">
        <v>3286.53</v>
      </c>
      <c r="L649" s="790"/>
      <c r="M649" s="1218"/>
      <c r="N649" s="1161"/>
      <c r="O649" s="1036"/>
      <c r="P649" s="1036"/>
      <c r="Q649" s="315"/>
      <c r="R649" s="538">
        <f>E644</f>
        <v>632301</v>
      </c>
      <c r="S649" s="921"/>
      <c r="T649" s="1369"/>
      <c r="U649" s="90"/>
    </row>
    <row r="650" spans="1:21" ht="15.75" customHeight="1">
      <c r="A650" s="1134"/>
      <c r="B650" s="1134"/>
      <c r="C650" s="578"/>
      <c r="D650" s="274"/>
      <c r="E650" s="1137"/>
      <c r="F650" s="1138"/>
      <c r="G650" s="391"/>
      <c r="H650" s="287">
        <v>278.85</v>
      </c>
      <c r="I650" s="288">
        <v>278.85</v>
      </c>
      <c r="J650" s="288">
        <v>49.22</v>
      </c>
      <c r="K650" s="437">
        <v>49.21</v>
      </c>
      <c r="L650" s="790"/>
      <c r="M650" s="1218"/>
      <c r="N650" s="1161"/>
      <c r="O650" s="1036"/>
      <c r="P650" s="1036"/>
      <c r="Q650" s="315"/>
      <c r="R650" s="538"/>
      <c r="S650" s="921"/>
      <c r="T650" s="587"/>
      <c r="U650" s="90"/>
    </row>
    <row r="651" spans="1:21" ht="17.25" customHeight="1" thickBot="1">
      <c r="A651" s="1090"/>
      <c r="B651" s="1090"/>
      <c r="C651" s="578"/>
      <c r="D651" s="274"/>
      <c r="E651" s="1139"/>
      <c r="F651" s="1140"/>
      <c r="G651" s="391"/>
      <c r="H651" s="307">
        <v>13436.3</v>
      </c>
      <c r="I651" s="308">
        <v>13436.3</v>
      </c>
      <c r="J651" s="308">
        <v>2371.11</v>
      </c>
      <c r="K651" s="608">
        <v>2371.11</v>
      </c>
      <c r="L651" s="766"/>
      <c r="M651" s="1457"/>
      <c r="N651" s="1126"/>
      <c r="O651" s="1027"/>
      <c r="P651" s="1027"/>
      <c r="Q651" s="315"/>
      <c r="R651" s="538"/>
      <c r="S651" s="922"/>
      <c r="T651" s="1364">
        <f>(E652-N652)/E652*100/9</f>
        <v>-0.11871202300038257</v>
      </c>
      <c r="U651" s="90"/>
    </row>
    <row r="652" spans="1:21" ht="17.25" customHeight="1">
      <c r="A652" s="1133" t="s">
        <v>31</v>
      </c>
      <c r="B652" s="1133" t="s">
        <v>32</v>
      </c>
      <c r="C652" s="12">
        <v>428141</v>
      </c>
      <c r="D652" s="13">
        <v>75554</v>
      </c>
      <c r="E652" s="12">
        <v>478379</v>
      </c>
      <c r="F652" s="24">
        <v>84419.86</v>
      </c>
      <c r="G652" s="526">
        <v>562798.8249352719</v>
      </c>
      <c r="H652" s="342">
        <v>27042.7</v>
      </c>
      <c r="I652" s="527">
        <v>27042.7</v>
      </c>
      <c r="J652" s="337">
        <v>4772.24</v>
      </c>
      <c r="K652" s="343">
        <v>4772.24</v>
      </c>
      <c r="L652" s="1020">
        <f>SUM(H652:K658)</f>
        <v>562798.8584584744</v>
      </c>
      <c r="M652" s="1077">
        <f>L652/E653*100</f>
        <v>99.99999972609653</v>
      </c>
      <c r="N652" s="1077">
        <f>1664120.65/30.126+6071388.5*2/30.126+25185</f>
        <v>483490.040496581</v>
      </c>
      <c r="O652" s="1251">
        <f>N652/E652*100</f>
        <v>101.06840820700344</v>
      </c>
      <c r="P652" s="1251">
        <f>428520.77</f>
        <v>428520.77</v>
      </c>
      <c r="Q652" s="1344">
        <f>P652/E652*100</f>
        <v>89.57767167873172</v>
      </c>
      <c r="R652" s="363">
        <f>E652+F652</f>
        <v>562798.86</v>
      </c>
      <c r="S652" s="920">
        <f>P652/E652*100</f>
        <v>89.57767167873172</v>
      </c>
      <c r="T652" s="1353"/>
      <c r="U652" s="90"/>
    </row>
    <row r="653" spans="1:21" ht="17.25" customHeight="1">
      <c r="A653" s="951"/>
      <c r="B653" s="1134"/>
      <c r="C653" s="1148">
        <f>SUM(C652:D652)</f>
        <v>503695</v>
      </c>
      <c r="D653" s="1149"/>
      <c r="E653" s="1148">
        <f>E652+F652</f>
        <v>562798.86</v>
      </c>
      <c r="F653" s="955"/>
      <c r="G653" s="1009">
        <v>562798.8249352719</v>
      </c>
      <c r="H653" s="331">
        <v>1158.4</v>
      </c>
      <c r="I653" s="335">
        <v>1158.4</v>
      </c>
      <c r="J653" s="335">
        <v>204.42</v>
      </c>
      <c r="K653" s="333">
        <v>204.42</v>
      </c>
      <c r="L653" s="1020"/>
      <c r="M653" s="1075"/>
      <c r="N653" s="1075"/>
      <c r="O653" s="1252"/>
      <c r="P653" s="1252"/>
      <c r="Q653" s="1306"/>
      <c r="R653" s="363"/>
      <c r="S653" s="921"/>
      <c r="T653" s="1353"/>
      <c r="U653" s="90"/>
    </row>
    <row r="654" spans="1:21" ht="17.25" customHeight="1">
      <c r="A654" s="951"/>
      <c r="B654" s="1134"/>
      <c r="C654" s="1150"/>
      <c r="D654" s="1151"/>
      <c r="E654" s="1150"/>
      <c r="F654" s="1053"/>
      <c r="G654" s="1010"/>
      <c r="H654" s="325">
        <v>43842.01</v>
      </c>
      <c r="I654" s="338">
        <v>43842.01</v>
      </c>
      <c r="J654" s="345">
        <v>7736.83</v>
      </c>
      <c r="K654" s="327">
        <v>7736.83</v>
      </c>
      <c r="L654" s="1020"/>
      <c r="M654" s="1075"/>
      <c r="N654" s="1075"/>
      <c r="O654" s="1252"/>
      <c r="P654" s="1252"/>
      <c r="Q654" s="1306"/>
      <c r="R654" s="363"/>
      <c r="S654" s="921"/>
      <c r="T654" s="1353"/>
      <c r="U654" s="90"/>
    </row>
    <row r="655" spans="1:21" ht="17.25" customHeight="1">
      <c r="A655" s="951"/>
      <c r="B655" s="1067"/>
      <c r="C655" s="952"/>
      <c r="D655" s="953"/>
      <c r="E655" s="956"/>
      <c r="F655" s="957"/>
      <c r="G655" s="1010"/>
      <c r="H655" s="331">
        <v>41393.6</v>
      </c>
      <c r="I655" s="347">
        <v>41393.6</v>
      </c>
      <c r="J655" s="335">
        <v>7304.76</v>
      </c>
      <c r="K655" s="333">
        <v>7304.76</v>
      </c>
      <c r="L655" s="1020"/>
      <c r="M655" s="1075"/>
      <c r="N655" s="1075"/>
      <c r="O655" s="1252"/>
      <c r="P655" s="1252"/>
      <c r="Q655" s="1306"/>
      <c r="R655" s="363"/>
      <c r="S655" s="921"/>
      <c r="T655" s="1353"/>
      <c r="U655" s="90"/>
    </row>
    <row r="656" spans="1:21" ht="17.25" customHeight="1">
      <c r="A656" s="951"/>
      <c r="B656" s="1067"/>
      <c r="C656" s="952"/>
      <c r="D656" s="953"/>
      <c r="E656" s="956"/>
      <c r="F656" s="957"/>
      <c r="G656" s="1010"/>
      <c r="H656" s="331">
        <v>31231.885414592045</v>
      </c>
      <c r="I656" s="347">
        <v>31231.885414592045</v>
      </c>
      <c r="J656" s="335">
        <v>5511.508995552014</v>
      </c>
      <c r="K656" s="333">
        <v>5511.508995552014</v>
      </c>
      <c r="L656" s="1020"/>
      <c r="M656" s="1075"/>
      <c r="N656" s="1075"/>
      <c r="O656" s="1252"/>
      <c r="P656" s="1252"/>
      <c r="Q656" s="1306"/>
      <c r="R656" s="363"/>
      <c r="S656" s="921"/>
      <c r="T656" s="1353"/>
      <c r="U656" s="90"/>
    </row>
    <row r="657" spans="1:21" ht="17.25" customHeight="1" thickBot="1">
      <c r="A657" s="951"/>
      <c r="B657" s="1067"/>
      <c r="C657" s="1408"/>
      <c r="D657" s="1409"/>
      <c r="E657" s="956"/>
      <c r="F657" s="957"/>
      <c r="G657" s="1011"/>
      <c r="H657" s="328">
        <v>82561.41372900484</v>
      </c>
      <c r="I657" s="329">
        <v>82561.41372900484</v>
      </c>
      <c r="J657" s="674">
        <v>14569.661090088295</v>
      </c>
      <c r="K657" s="330">
        <v>14569.661090088295</v>
      </c>
      <c r="L657" s="1020"/>
      <c r="M657" s="1075"/>
      <c r="N657" s="1075"/>
      <c r="O657" s="1252"/>
      <c r="P657" s="1252"/>
      <c r="Q657" s="1307"/>
      <c r="R657" s="363">
        <f>E653</f>
        <v>562798.86</v>
      </c>
      <c r="S657" s="921"/>
      <c r="T657" s="1354"/>
      <c r="U657" s="90"/>
    </row>
    <row r="658" spans="1:21" ht="17.25" customHeight="1" thickBot="1">
      <c r="A658" s="954"/>
      <c r="B658" s="1128"/>
      <c r="C658" s="672"/>
      <c r="D658" s="673"/>
      <c r="E658" s="994"/>
      <c r="F658" s="958"/>
      <c r="G658" s="386"/>
      <c r="H658" s="282">
        <v>11959.48</v>
      </c>
      <c r="I658" s="283">
        <v>11959.48</v>
      </c>
      <c r="J658" s="355">
        <v>2110.52</v>
      </c>
      <c r="K658" s="284">
        <v>2110.52</v>
      </c>
      <c r="L658" s="901"/>
      <c r="M658" s="901"/>
      <c r="N658" s="1078"/>
      <c r="O658" s="1343"/>
      <c r="P658" s="1343"/>
      <c r="Q658" s="315"/>
      <c r="R658" s="363"/>
      <c r="S658" s="1343"/>
      <c r="T658" s="587"/>
      <c r="U658" s="90"/>
    </row>
    <row r="659" spans="1:20" ht="30" customHeight="1" thickBot="1">
      <c r="A659" s="256" t="s">
        <v>75</v>
      </c>
      <c r="B659" s="62" t="s">
        <v>76</v>
      </c>
      <c r="C659" s="1455" t="e">
        <f>SUM(C193+C568+C281+C128+C102+C488+C418+C149+C78+C644+C632+C38+C26+C519+C219+C509+C245+C17+C284+C138+C313+C224+C93+C204+C214+C120+C133+C564+C12+C97+C450+C124+C51+C210+C623+#REF!+C87+C105+C359+C154+C158+C115+C531+C40+C67+C609+#REF!+C111+C527+C642+C73+C276+C503+C405+C251+C229+C570+C272+C298+C423+C10+C376+C619+C596+C329+C267+C437+C342+C428+C696+C318+C591+C600+C255+C381+C653+C481+C392+C305+C262+C162+C446+C409+C538+C186+C617+C466+C493)</f>
        <v>#REF!</v>
      </c>
      <c r="D659" s="1456"/>
      <c r="E659" s="1455">
        <v>56246255.739999995</v>
      </c>
      <c r="F659" s="1456"/>
      <c r="G659" s="280">
        <f>SUM(G487:G489)/2</f>
        <v>428500</v>
      </c>
      <c r="H659" s="276">
        <f>SUM(H7:H658)</f>
        <v>20003512.548066124</v>
      </c>
      <c r="I659" s="277">
        <f>SUM(I7:I658)</f>
        <v>23193999.22132178</v>
      </c>
      <c r="J659" s="277">
        <f>SUM(J7:J658)</f>
        <v>3269843.514013143</v>
      </c>
      <c r="K659" s="278">
        <f>SUM(K7:K658)</f>
        <v>3834560.5878503565</v>
      </c>
      <c r="L659" s="279">
        <f>H659+I659+J659+K659</f>
        <v>50301915.8712514</v>
      </c>
      <c r="M659" s="280">
        <f>L659/E659*100</f>
        <v>89.43158119497502</v>
      </c>
      <c r="N659" s="279">
        <f>SUM(N7:N658)</f>
        <v>35161304.48760141</v>
      </c>
      <c r="O659" s="279">
        <f>N659/E681*100</f>
        <v>72.72741653771726</v>
      </c>
      <c r="P659" s="279">
        <f>SUM(P7:P658)</f>
        <v>33781713.739160195</v>
      </c>
      <c r="Q659" s="279" t="e">
        <f>P659/SUM(E127+E101+E148+E643+E631+E37+E218+E244+E312+E223+E92+E203+E213+E119+#REF!+E96+E123+E50+E86+E104+E358+E153+E157+E114+E66+E110+E595+E328+E266+E436+E341+E427+E317+E590+E599+E254+E380+E652+E480+E391+E304+E261+E161+E445+E408+E537+E185+E616+E465+E492+E375+E9+E422+E297+E271+E569+E228+E250+E404+E502+E275)*100</f>
        <v>#REF!</v>
      </c>
      <c r="S659" s="279">
        <f>P659/E681*100</f>
        <v>69.87387988782292</v>
      </c>
      <c r="T659" s="279">
        <f>(E681-N659)/E681*100/9</f>
        <v>3.030287051364749</v>
      </c>
    </row>
    <row r="660" spans="1:16" ht="12.75">
      <c r="A660" s="1" t="s">
        <v>91</v>
      </c>
      <c r="H660" s="275"/>
      <c r="I660" s="2"/>
      <c r="J660" s="2"/>
      <c r="K660" s="275"/>
      <c r="L660" s="275"/>
      <c r="M660" s="275"/>
      <c r="N660" s="299"/>
      <c r="O660" s="299"/>
      <c r="P660" s="275"/>
    </row>
    <row r="661" spans="1:13" ht="12.75" customHeight="1" hidden="1">
      <c r="A661" s="63"/>
      <c r="M661" s="299"/>
    </row>
    <row r="662" spans="1:13" ht="12.75" customHeight="1" hidden="1">
      <c r="A662" s="64" t="s">
        <v>77</v>
      </c>
      <c r="J662" s="2"/>
      <c r="K662" s="2"/>
      <c r="L662" s="299"/>
      <c r="M662" s="292"/>
    </row>
    <row r="663" spans="2:13" ht="12.75" customHeight="1" hidden="1">
      <c r="B663" s="65"/>
      <c r="C663" s="65"/>
      <c r="D663" s="65"/>
      <c r="E663" s="296"/>
      <c r="J663" s="69"/>
      <c r="K663" s="69"/>
      <c r="L663" s="292"/>
      <c r="M663" s="2"/>
    </row>
    <row r="664" spans="1:13" ht="12.75" customHeight="1" hidden="1">
      <c r="A664" s="66" t="s">
        <v>78</v>
      </c>
      <c r="B664" s="64"/>
      <c r="C664" s="64"/>
      <c r="D664" s="64"/>
      <c r="E664" s="297"/>
      <c r="F664" s="301"/>
      <c r="G664" s="375"/>
      <c r="M664" s="2"/>
    </row>
    <row r="665" spans="1:13" ht="12.75" customHeight="1" hidden="1">
      <c r="A665" s="64" t="s">
        <v>79</v>
      </c>
      <c r="B665" s="67"/>
      <c r="C665" s="67"/>
      <c r="D665" s="67"/>
      <c r="E665" s="298"/>
      <c r="F665" s="297"/>
      <c r="G665" s="376"/>
      <c r="J665" s="2"/>
      <c r="K665" s="2"/>
      <c r="M665" s="2"/>
    </row>
    <row r="666" spans="1:13" ht="12.75" customHeight="1" hidden="1">
      <c r="A666" s="64" t="s">
        <v>80</v>
      </c>
      <c r="B666" s="64"/>
      <c r="C666" s="64"/>
      <c r="D666" s="64"/>
      <c r="E666" s="297"/>
      <c r="F666" s="297"/>
      <c r="G666" s="376"/>
      <c r="J666" s="69"/>
      <c r="K666" s="69"/>
      <c r="M666" s="2"/>
    </row>
    <row r="667" spans="1:13" ht="12.75" customHeight="1" hidden="1">
      <c r="A667" s="64"/>
      <c r="B667" s="64"/>
      <c r="C667" s="64"/>
      <c r="D667" s="64"/>
      <c r="E667" s="297"/>
      <c r="F667" s="297"/>
      <c r="G667" s="376"/>
      <c r="M667" s="2"/>
    </row>
    <row r="668" spans="10:13" ht="12.75" customHeight="1" hidden="1">
      <c r="J668" s="2"/>
      <c r="K668" s="2"/>
      <c r="M668" s="2"/>
    </row>
    <row r="669" spans="1:13" ht="12.75" customHeight="1" hidden="1">
      <c r="A669" s="68" t="s">
        <v>81</v>
      </c>
      <c r="J669" s="69"/>
      <c r="K669" s="69"/>
      <c r="M669" s="2"/>
    </row>
    <row r="670" spans="12:13" ht="12.75" customHeight="1" hidden="1">
      <c r="L670" s="2"/>
      <c r="M670" s="2"/>
    </row>
    <row r="671" spans="1:21" ht="12.75" customHeight="1" hidden="1">
      <c r="A671" s="68" t="s">
        <v>82</v>
      </c>
      <c r="B671" s="68" t="s">
        <v>83</v>
      </c>
      <c r="C671" s="68"/>
      <c r="D671" s="68"/>
      <c r="J671" s="2"/>
      <c r="K671" s="2"/>
      <c r="T671" s="1"/>
      <c r="U671" s="1"/>
    </row>
    <row r="672" spans="1:21" ht="12.75" customHeight="1" hidden="1">
      <c r="A672" s="68" t="s">
        <v>84</v>
      </c>
      <c r="B672" s="68" t="s">
        <v>85</v>
      </c>
      <c r="C672" s="68"/>
      <c r="D672" s="68"/>
      <c r="J672" s="69"/>
      <c r="K672" s="69"/>
      <c r="T672" s="1"/>
      <c r="U672" s="1"/>
    </row>
    <row r="673" spans="8:21" ht="12.75">
      <c r="H673" s="275"/>
      <c r="I673" s="2"/>
      <c r="J673" s="2"/>
      <c r="K673" s="275"/>
      <c r="L673" s="2"/>
      <c r="P673" s="299"/>
      <c r="S673" s="306"/>
      <c r="T673" s="1"/>
      <c r="U673" s="1"/>
    </row>
    <row r="674" spans="2:21" ht="12.75">
      <c r="B674" s="1" t="s">
        <v>92</v>
      </c>
      <c r="E674" s="1451" t="s">
        <v>227</v>
      </c>
      <c r="F674" s="1451"/>
      <c r="G674" s="1451"/>
      <c r="H674" s="1451"/>
      <c r="I674" s="1451"/>
      <c r="J674" s="2"/>
      <c r="K674" s="2"/>
      <c r="T674" s="1"/>
      <c r="U674" s="1"/>
    </row>
    <row r="675" spans="2:21" ht="12.75">
      <c r="B675" s="1" t="s">
        <v>93</v>
      </c>
      <c r="E675" s="1451" t="s">
        <v>94</v>
      </c>
      <c r="F675" s="1451"/>
      <c r="G675" s="1451"/>
      <c r="H675" s="1451"/>
      <c r="I675" s="1451"/>
      <c r="J675" s="275"/>
      <c r="K675" s="2"/>
      <c r="L675" s="2"/>
      <c r="M675" s="2"/>
      <c r="N675" s="299"/>
      <c r="O675" s="299"/>
      <c r="P675" s="299"/>
      <c r="Q675" s="299"/>
      <c r="R675" s="275">
        <v>31610410.73497975</v>
      </c>
      <c r="T675" s="1"/>
      <c r="U675" s="1"/>
    </row>
    <row r="676" spans="2:21" ht="12.75">
      <c r="B676" s="1" t="s">
        <v>95</v>
      </c>
      <c r="E676" s="1451" t="s">
        <v>97</v>
      </c>
      <c r="F676" s="1451"/>
      <c r="G676" s="1451"/>
      <c r="H676" s="1451"/>
      <c r="I676" s="1451"/>
      <c r="J676" s="69"/>
      <c r="K676" s="69"/>
      <c r="T676" s="1"/>
      <c r="U676" s="1"/>
    </row>
    <row r="677" spans="2:21" ht="12.75">
      <c r="B677" s="1" t="s">
        <v>96</v>
      </c>
      <c r="E677" s="1451" t="s">
        <v>99</v>
      </c>
      <c r="F677" s="1451"/>
      <c r="G677" s="1451"/>
      <c r="H677" s="1451"/>
      <c r="I677" s="1451"/>
      <c r="J677" s="254"/>
      <c r="L677" s="2"/>
      <c r="M677" s="2"/>
      <c r="T677" s="1"/>
      <c r="U677" s="1"/>
    </row>
    <row r="678" spans="2:21" ht="12.75">
      <c r="B678" s="1" t="s">
        <v>261</v>
      </c>
      <c r="E678" s="1451" t="s">
        <v>228</v>
      </c>
      <c r="F678" s="1451"/>
      <c r="G678" s="1451"/>
      <c r="H678" s="1451"/>
      <c r="I678" s="1451"/>
      <c r="J678" s="2"/>
      <c r="K678" s="2"/>
      <c r="L678" s="2"/>
      <c r="M678" s="2"/>
      <c r="T678" s="1"/>
      <c r="U678" s="1"/>
    </row>
    <row r="679" spans="2:19" s="2" customFormat="1" ht="15" customHeight="1">
      <c r="B679" s="2" t="s">
        <v>92</v>
      </c>
      <c r="E679" s="1450" t="s">
        <v>259</v>
      </c>
      <c r="F679" s="1450"/>
      <c r="G679" s="1450"/>
      <c r="H679" s="1450"/>
      <c r="I679" s="292"/>
      <c r="K679" s="292"/>
      <c r="L679" s="292"/>
      <c r="M679" s="1"/>
      <c r="O679" s="292"/>
      <c r="P679" s="292"/>
      <c r="S679" s="1"/>
    </row>
    <row r="680" spans="5:19" s="2" customFormat="1" ht="12.75" hidden="1">
      <c r="E680" s="275"/>
      <c r="F680" s="275"/>
      <c r="G680" s="275"/>
      <c r="H680" s="275"/>
      <c r="I680" s="1"/>
      <c r="L680" s="1"/>
      <c r="M680" s="1"/>
      <c r="Q680" s="275"/>
      <c r="S680" s="306"/>
    </row>
    <row r="681" spans="3:16" s="2" customFormat="1" ht="12.75" hidden="1">
      <c r="C681" s="2" t="e">
        <f>SUM(C192+C567+C280+C127+C101+C487+C417+C148+C76+C643+C631+C37+C25+C518+C218+C508+C244+C16+C283+C137+C312+C223+C92+C203+C213+C119+C132+C563+C11+C96+C449+C123+C50+C209+C622+#REF!+C86+C104+C358+C153+C157+C114+C530+C39+C66+C608+#REF!+C110+C526+C641+C72+C639+C618+C595+C328+C266+C436+C341+C427+C695+C317+C590+C599+C254+C380+C652+C480+C391+C304+C261+C161+C445+C408+C537+C185+C616+C635+C465+C492+C375+C9+C422+C297+C271+C569+C228+C250+C404+C502+C7+C275)</f>
        <v>#REF!</v>
      </c>
      <c r="D681" s="2" t="e">
        <f>SUM(D192+D567+D280+D127+D101+D487+D417+D148+D76+D643+D631+D37+D25+D518+D218+D508+D244+D16+D283+D137+D312+D223+D92+D203+D213+D119+D132+D563+D11+D96+D449+D123+D50+D209+D622+#REF!+D86+D104+D358+D153+D157+D114+D530+D39+D66+D608+#REF!+D110+D526+D641+D72+D639+D618+D595+D328+D266+D436+D341+D427+D695+D317+D590+D599+D254+D380+D652+D480+D391+D304+D261+D161+D445+D408+D537+D185+D616+D635+D465+D492+D375+D9+D422+D297+D271+D569+D228+D250+D404+D502+D7+D275)</f>
        <v>#REF!</v>
      </c>
      <c r="E681" s="299">
        <f>SUM(E192+E567+E280+E127+E101+E487+E417+E148+E76+E643+E631+E37+E25+E518+E218+E508+E244+E16+E283+E137+E312+E223+E92+E203+E213+E119+E132+E563+E11+E96+E449+E123+E50+E209+E622+E86+E104+E358+E153+E157+E114+E530+E39+E66+E608+E110+E526+E641+E72+E639+E618+E595+E328+E266+E436+E341+E427+E695+E317+E590+E599+E254+E380+E652+E480+E391+E304+E261+E161+E445+E408+E537+E185+E616+E635+E465+E492+E375+E9+E422+E297+E271+E569+E228+E250+E404+E502+E7+E275+E474)</f>
        <v>48346698.06999999</v>
      </c>
      <c r="F681" s="299">
        <f>SUM(F192+F567+F280+F127+F101+F487+F417+F148+F76+F643+F631+F37+F25+F518+F218+F508+F244+F16+F283+F137+F312+F223+F92+F203+F213+F119+F132+F563+F11+F96+F449+F123+F50+F209+F622+F86+F104+F358+F153+F157+F114+F530+F39+F66+F608+F110+F526+F641+F72+F639+F618+F595+F328+F266+F436+F341+F427+F695+F317+F590+F599+F254+F380+F652+F480+F391+F304+F261+F161+F445+F408+F537+F185+F616+F635+F465+F492+F375+F9+F422+F297+F271+F569+F228+F250+F404+F502+F7+F275)</f>
        <v>7829551.71</v>
      </c>
      <c r="G681" s="299"/>
      <c r="H681" s="292"/>
      <c r="I681" s="1"/>
      <c r="J681" s="1"/>
      <c r="K681" s="1"/>
      <c r="L681" s="1"/>
      <c r="M681" s="1"/>
      <c r="N681" s="1"/>
      <c r="P681" s="1"/>
    </row>
    <row r="682" spans="3:16" s="2" customFormat="1" ht="12.75" hidden="1">
      <c r="C682" s="1055" t="e">
        <f>C681+D681</f>
        <v>#REF!</v>
      </c>
      <c r="D682" s="1055"/>
      <c r="E682" s="1055">
        <f>E681+F681</f>
        <v>56176249.779999994</v>
      </c>
      <c r="F682" s="1055"/>
      <c r="G682" s="275"/>
      <c r="I682" s="1"/>
      <c r="J682" s="1"/>
      <c r="K682" s="1"/>
      <c r="L682" s="1"/>
      <c r="M682" s="1"/>
      <c r="P682" s="1"/>
    </row>
    <row r="683" spans="14:21" ht="12.75" hidden="1">
      <c r="N683" s="1"/>
      <c r="T683" s="1"/>
      <c r="U683" s="1"/>
    </row>
    <row r="684" spans="14:21" ht="12.75" hidden="1">
      <c r="N684" s="1"/>
      <c r="T684" s="1"/>
      <c r="U684" s="1"/>
    </row>
    <row r="685" spans="2:21" ht="12.75" hidden="1">
      <c r="B685" s="1" t="s">
        <v>248</v>
      </c>
      <c r="E685" s="275" t="e">
        <f>E192+E567+E280+E127+E101+E487+E417+E148+E76+E643+E631+E37+E25+E518+E218+E508+E244+E16+E283+E137+E312+E223+E92+E203+E213+E119+E132+E563+E11+E96+E449+E123+E50+E209+E622+#REF!+E86+E104+E358+E153+E157+E114+E530+E39+E66+E608+#REF!+E110+#REF!+E526+E641+E72+E639+E618+E595+E328+E266+E436+E341+E427+E695+E317+E590+E599+E254+E380+E652+E480+E391+E304+E261+E161+E445+E408+E537+E185+E616+E635+E465+E492+E375+E9+E422+E297+E271+E569+E228+E250+E404+E502+E7+E275</f>
        <v>#REF!</v>
      </c>
      <c r="F685" s="275" t="e">
        <f>F192+F567+F280+F127+F101+F487+F417+F148+F76+F643+F631+F37+F25+F518+F218+F508+F244+F16+F283+F137+F312+F223+F92+F203+F213+F119+F132+F563+F11+F96+F449+F123+F50+F209+F622+#REF!+F86+F104+F358+F153+F157+F114+F530+F39+F66+F608+#REF!+F110+#REF!+F526+F641+F72+F639+F618+F595+F328+F266+F436+F341+F427+F695+F317+F590+F599+F254+F380+F652+F480+F391+F304+F261+F161+F445+F408+F537+F185+F616+F635+F465+F492+F375+F9+F422+F297+F271+F569+F228+F250+F404+F502+F7+F275</f>
        <v>#REF!</v>
      </c>
      <c r="T685" s="1"/>
      <c r="U685" s="1"/>
    </row>
    <row r="686" spans="2:21" ht="12.75" hidden="1">
      <c r="B686" s="1" t="s">
        <v>249</v>
      </c>
      <c r="E686" s="275">
        <v>13779378.538450507</v>
      </c>
      <c r="F686" s="275"/>
      <c r="N686" s="1"/>
      <c r="T686" s="1"/>
      <c r="U686" s="1"/>
    </row>
    <row r="687" spans="2:21" ht="12.75" hidden="1">
      <c r="B687" s="1" t="s">
        <v>250</v>
      </c>
      <c r="E687" s="275">
        <f>'[1]TA'!$D$8</f>
        <v>1447672.16</v>
      </c>
      <c r="N687" s="1"/>
      <c r="U687" s="1"/>
    </row>
    <row r="688" spans="5:21" ht="12.75" hidden="1">
      <c r="E688" s="356" t="e">
        <f>SUM(E685:E687)</f>
        <v>#REF!</v>
      </c>
      <c r="U688" s="1"/>
    </row>
    <row r="689" spans="8:21" ht="13.5" thickBot="1">
      <c r="H689" s="2"/>
      <c r="I689" s="2"/>
      <c r="J689" s="2"/>
      <c r="K689" s="2"/>
      <c r="L689" s="275"/>
      <c r="M689" s="275"/>
      <c r="N689" s="1"/>
      <c r="P689" s="800"/>
      <c r="U689" s="1"/>
    </row>
    <row r="690" spans="14:21" ht="13.5" thickBot="1">
      <c r="N690" s="1"/>
      <c r="T690" s="576"/>
      <c r="U690" s="1"/>
    </row>
    <row r="691" spans="8:16" ht="12.75">
      <c r="H691" s="2"/>
      <c r="K691" s="69"/>
      <c r="M691" s="275"/>
      <c r="P691" s="2"/>
    </row>
    <row r="692" spans="8:16" ht="12.75">
      <c r="H692" s="2"/>
      <c r="I692" s="2"/>
      <c r="J692" s="2"/>
      <c r="K692" s="2"/>
      <c r="L692" s="2"/>
      <c r="M692" s="275"/>
      <c r="P692" s="2"/>
    </row>
    <row r="693" spans="20:21" ht="12.75">
      <c r="T693" s="2">
        <v>78.02802852534423</v>
      </c>
      <c r="U693" s="1"/>
    </row>
    <row r="694" ht="12.75"/>
    <row r="695" spans="1:21" s="93" customFormat="1" ht="18.75" customHeight="1">
      <c r="A695" s="1"/>
      <c r="B695" s="1"/>
      <c r="C695" s="1"/>
      <c r="D695" s="1"/>
      <c r="E695" s="295"/>
      <c r="F695" s="295"/>
      <c r="G695" s="275"/>
      <c r="H695" s="1"/>
      <c r="I695" s="1"/>
      <c r="J695" s="1"/>
      <c r="K695" s="1"/>
      <c r="L695" s="1"/>
      <c r="M695" s="1"/>
      <c r="N695" s="2"/>
      <c r="O695" s="2"/>
      <c r="P695" s="1"/>
      <c r="Q695" s="1"/>
      <c r="R695" s="2"/>
      <c r="S695" s="1"/>
      <c r="T695" s="590"/>
      <c r="U695" s="363"/>
    </row>
    <row r="696" spans="1:21" s="93" customFormat="1" ht="18.75" customHeight="1">
      <c r="A696" s="1"/>
      <c r="B696" s="1"/>
      <c r="C696" s="1"/>
      <c r="D696" s="1"/>
      <c r="E696" s="295"/>
      <c r="F696" s="295"/>
      <c r="G696" s="275"/>
      <c r="H696" s="1"/>
      <c r="I696" s="1"/>
      <c r="J696" s="1"/>
      <c r="K696" s="1"/>
      <c r="L696" s="1"/>
      <c r="M696" s="1"/>
      <c r="N696" s="2"/>
      <c r="O696" s="2"/>
      <c r="P696" s="1"/>
      <c r="Q696" s="1"/>
      <c r="R696" s="2"/>
      <c r="S696" s="1"/>
      <c r="T696" s="590"/>
      <c r="U696" s="363"/>
    </row>
    <row r="697" spans="1:21" s="93" customFormat="1" ht="18.75" customHeight="1">
      <c r="A697" s="1"/>
      <c r="B697" s="1"/>
      <c r="C697" s="1"/>
      <c r="D697" s="1"/>
      <c r="E697" s="295"/>
      <c r="F697" s="295"/>
      <c r="G697" s="275"/>
      <c r="H697" s="1"/>
      <c r="I697" s="1"/>
      <c r="J697" s="1"/>
      <c r="K697" s="1"/>
      <c r="L697" s="1"/>
      <c r="M697" s="1"/>
      <c r="N697" s="2"/>
      <c r="O697" s="2"/>
      <c r="P697" s="1"/>
      <c r="Q697" s="1"/>
      <c r="R697" s="2"/>
      <c r="S697" s="1"/>
      <c r="T697" s="590"/>
      <c r="U697" s="363"/>
    </row>
    <row r="698" spans="1:21" s="93" customFormat="1" ht="18.75" customHeight="1">
      <c r="A698" s="1"/>
      <c r="B698" s="1"/>
      <c r="C698" s="1"/>
      <c r="D698" s="1"/>
      <c r="E698" s="295"/>
      <c r="F698" s="295"/>
      <c r="G698" s="275"/>
      <c r="H698" s="1"/>
      <c r="I698" s="1"/>
      <c r="J698" s="1"/>
      <c r="K698" s="1"/>
      <c r="L698" s="1"/>
      <c r="M698" s="1"/>
      <c r="N698" s="2"/>
      <c r="O698" s="2"/>
      <c r="P698" s="1"/>
      <c r="Q698" s="1"/>
      <c r="R698" s="2"/>
      <c r="S698" s="1"/>
      <c r="T698" s="590"/>
      <c r="U698" s="363"/>
    </row>
    <row r="699" spans="1:21" s="93" customFormat="1" ht="18.75" customHeight="1">
      <c r="A699" s="1"/>
      <c r="B699" s="1"/>
      <c r="C699" s="1"/>
      <c r="D699" s="1"/>
      <c r="E699" s="295"/>
      <c r="F699" s="295"/>
      <c r="G699" s="275"/>
      <c r="H699" s="1"/>
      <c r="I699" s="1"/>
      <c r="J699" s="1"/>
      <c r="K699" s="1"/>
      <c r="L699" s="1"/>
      <c r="M699" s="1"/>
      <c r="N699" s="2"/>
      <c r="O699" s="2"/>
      <c r="P699" s="1"/>
      <c r="Q699" s="1"/>
      <c r="R699" s="2"/>
      <c r="S699" s="1"/>
      <c r="T699" s="590"/>
      <c r="U699" s="363"/>
    </row>
    <row r="700" spans="1:21" s="93" customFormat="1" ht="18.75" customHeight="1">
      <c r="A700" s="1"/>
      <c r="B700" s="1"/>
      <c r="C700" s="1"/>
      <c r="D700" s="1"/>
      <c r="E700" s="295"/>
      <c r="F700" s="295"/>
      <c r="G700" s="275"/>
      <c r="H700" s="1"/>
      <c r="I700" s="1"/>
      <c r="J700" s="1"/>
      <c r="K700" s="1"/>
      <c r="L700" s="1"/>
      <c r="M700" s="1"/>
      <c r="N700" s="2"/>
      <c r="O700" s="2"/>
      <c r="P700" s="1"/>
      <c r="Q700" s="1"/>
      <c r="R700" s="2"/>
      <c r="S700" s="1"/>
      <c r="T700" s="590"/>
      <c r="U700" s="363"/>
    </row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5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</sheetData>
  <sheetProtection/>
  <mergeCells count="1264">
    <mergeCell ref="A341:A357"/>
    <mergeCell ref="B341:B357"/>
    <mergeCell ref="E342:F357"/>
    <mergeCell ref="L341:L357"/>
    <mergeCell ref="M283:M296"/>
    <mergeCell ref="M328:M340"/>
    <mergeCell ref="N341:N357"/>
    <mergeCell ref="O312:O316"/>
    <mergeCell ref="O297:O303"/>
    <mergeCell ref="O341:O357"/>
    <mergeCell ref="M341:M357"/>
    <mergeCell ref="M297:M303"/>
    <mergeCell ref="N317:N327"/>
    <mergeCell ref="N328:N340"/>
    <mergeCell ref="M317:M327"/>
    <mergeCell ref="M250:M253"/>
    <mergeCell ref="N275:N279"/>
    <mergeCell ref="M487:M491"/>
    <mergeCell ref="N250:N253"/>
    <mergeCell ref="N254:N260"/>
    <mergeCell ref="N283:N296"/>
    <mergeCell ref="N417:N421"/>
    <mergeCell ref="N304:N311"/>
    <mergeCell ref="N404:N407"/>
    <mergeCell ref="N408:N416"/>
    <mergeCell ref="S11:S15"/>
    <mergeCell ref="L228:L243"/>
    <mergeCell ref="L76:L85"/>
    <mergeCell ref="L209:L212"/>
    <mergeCell ref="N228:N243"/>
    <mergeCell ref="P16:P24"/>
    <mergeCell ref="M213:M217"/>
    <mergeCell ref="S132:S136"/>
    <mergeCell ref="N37:N38"/>
    <mergeCell ref="N101:N103"/>
    <mergeCell ref="O25:O36"/>
    <mergeCell ref="S39:S49"/>
    <mergeCell ref="S101:S103"/>
    <mergeCell ref="S127:S131"/>
    <mergeCell ref="S123:S126"/>
    <mergeCell ref="O114:O118"/>
    <mergeCell ref="O110:O113"/>
    <mergeCell ref="O119:O122"/>
    <mergeCell ref="T40:T41"/>
    <mergeCell ref="O101:O103"/>
    <mergeCell ref="T42:T45"/>
    <mergeCell ref="P280:P282"/>
    <mergeCell ref="S280:S282"/>
    <mergeCell ref="O209:O212"/>
    <mergeCell ref="O192:O202"/>
    <mergeCell ref="P445:P448"/>
    <mergeCell ref="S358:S374"/>
    <mergeCell ref="P328:P340"/>
    <mergeCell ref="A3:T3"/>
    <mergeCell ref="T9:T10"/>
    <mergeCell ref="T28:T33"/>
    <mergeCell ref="O16:O24"/>
    <mergeCell ref="T12:T13"/>
    <mergeCell ref="T14:T15"/>
    <mergeCell ref="E12:F15"/>
    <mergeCell ref="N518:N525"/>
    <mergeCell ref="L445:L448"/>
    <mergeCell ref="N508:N517"/>
    <mergeCell ref="S275:S279"/>
    <mergeCell ref="P283:P296"/>
    <mergeCell ref="S508:S517"/>
    <mergeCell ref="Q358:Q359"/>
    <mergeCell ref="Q312:Q313"/>
    <mergeCell ref="P465:P473"/>
    <mergeCell ref="P508:P517"/>
    <mergeCell ref="L436:L444"/>
    <mergeCell ref="G437:G443"/>
    <mergeCell ref="L417:L421"/>
    <mergeCell ref="M518:M525"/>
    <mergeCell ref="M417:M421"/>
    <mergeCell ref="L508:L517"/>
    <mergeCell ref="M508:M517"/>
    <mergeCell ref="G446:G448"/>
    <mergeCell ref="P11:P15"/>
    <mergeCell ref="O213:O217"/>
    <mergeCell ref="O203:O208"/>
    <mergeCell ref="N427:N435"/>
    <mergeCell ref="N422:N426"/>
    <mergeCell ref="P297:P303"/>
    <mergeCell ref="O11:O15"/>
    <mergeCell ref="P72:P75"/>
    <mergeCell ref="O37:O38"/>
    <mergeCell ref="O72:O75"/>
    <mergeCell ref="Q213:Q214"/>
    <mergeCell ref="Q153:Q154"/>
    <mergeCell ref="P228:P243"/>
    <mergeCell ref="Q96:Q97"/>
    <mergeCell ref="N391:N403"/>
    <mergeCell ref="O391:O403"/>
    <mergeCell ref="N218:N222"/>
    <mergeCell ref="N380:N390"/>
    <mergeCell ref="O375:O379"/>
    <mergeCell ref="O358:O374"/>
    <mergeCell ref="N297:N303"/>
    <mergeCell ref="N271:N274"/>
    <mergeCell ref="O304:O311"/>
    <mergeCell ref="N209:N212"/>
    <mergeCell ref="O218:O222"/>
    <mergeCell ref="N266:N270"/>
    <mergeCell ref="A569:A589"/>
    <mergeCell ref="B569:B589"/>
    <mergeCell ref="A590:A594"/>
    <mergeCell ref="O328:O340"/>
    <mergeCell ref="A526:A529"/>
    <mergeCell ref="B526:B529"/>
    <mergeCell ref="G475:G476"/>
    <mergeCell ref="G503:G506"/>
    <mergeCell ref="A492:A501"/>
    <mergeCell ref="B492:B501"/>
    <mergeCell ref="M445:M448"/>
    <mergeCell ref="B567:B568"/>
    <mergeCell ref="C418:D420"/>
    <mergeCell ref="A436:A444"/>
    <mergeCell ref="B417:B421"/>
    <mergeCell ref="A474:A479"/>
    <mergeCell ref="C564:D564"/>
    <mergeCell ref="A567:A568"/>
    <mergeCell ref="C509:D510"/>
    <mergeCell ref="C481:D486"/>
    <mergeCell ref="N465:N473"/>
    <mergeCell ref="N474:N479"/>
    <mergeCell ref="E596:F598"/>
    <mergeCell ref="L526:L529"/>
    <mergeCell ref="L567:L568"/>
    <mergeCell ref="L569:L589"/>
    <mergeCell ref="N537:N562"/>
    <mergeCell ref="M474:M479"/>
    <mergeCell ref="E493:F501"/>
    <mergeCell ref="G538:G557"/>
    <mergeCell ref="O465:O473"/>
    <mergeCell ref="O480:O486"/>
    <mergeCell ref="N480:N486"/>
    <mergeCell ref="C538:D558"/>
    <mergeCell ref="C527:D527"/>
    <mergeCell ref="E503:F507"/>
    <mergeCell ref="C493:D500"/>
    <mergeCell ref="C503:D506"/>
    <mergeCell ref="C531:D532"/>
    <mergeCell ref="N502:N507"/>
    <mergeCell ref="N436:N444"/>
    <mergeCell ref="B474:B479"/>
    <mergeCell ref="O502:O507"/>
    <mergeCell ref="S480:S486"/>
    <mergeCell ref="P474:P479"/>
    <mergeCell ref="N445:N448"/>
    <mergeCell ref="P449:P464"/>
    <mergeCell ref="G481:G485"/>
    <mergeCell ref="O474:O479"/>
    <mergeCell ref="P487:P491"/>
    <mergeCell ref="S526:S529"/>
    <mergeCell ref="S502:S507"/>
    <mergeCell ref="S563:S566"/>
    <mergeCell ref="S569:S589"/>
    <mergeCell ref="B590:B594"/>
    <mergeCell ref="B595:B598"/>
    <mergeCell ref="L480:L486"/>
    <mergeCell ref="M480:M486"/>
    <mergeCell ref="B563:B566"/>
    <mergeCell ref="C591:D592"/>
    <mergeCell ref="C568:D568"/>
    <mergeCell ref="C596:D598"/>
    <mergeCell ref="C488:D489"/>
    <mergeCell ref="B502:B507"/>
    <mergeCell ref="N530:N536"/>
    <mergeCell ref="P530:P536"/>
    <mergeCell ref="O563:O566"/>
    <mergeCell ref="T590:T592"/>
    <mergeCell ref="T585:T586"/>
    <mergeCell ref="O530:O536"/>
    <mergeCell ref="N567:N568"/>
    <mergeCell ref="N563:N566"/>
    <mergeCell ref="T598:T600"/>
    <mergeCell ref="Q569:Q576"/>
    <mergeCell ref="P599:P607"/>
    <mergeCell ref="Q595:Q597"/>
    <mergeCell ref="P595:P598"/>
    <mergeCell ref="P569:P589"/>
    <mergeCell ref="T594:T595"/>
    <mergeCell ref="S622:S630"/>
    <mergeCell ref="T626:T627"/>
    <mergeCell ref="S631:S634"/>
    <mergeCell ref="S608:S615"/>
    <mergeCell ref="T634:T636"/>
    <mergeCell ref="T607:T615"/>
    <mergeCell ref="T618:T625"/>
    <mergeCell ref="T603:T606"/>
    <mergeCell ref="T616:T617"/>
    <mergeCell ref="T630:T632"/>
    <mergeCell ref="T642:T649"/>
    <mergeCell ref="P635:P638"/>
    <mergeCell ref="S639:S640"/>
    <mergeCell ref="P639:P640"/>
    <mergeCell ref="T640:T641"/>
    <mergeCell ref="T651:T657"/>
    <mergeCell ref="P652:P658"/>
    <mergeCell ref="T638:T639"/>
    <mergeCell ref="S635:S638"/>
    <mergeCell ref="P643:P651"/>
    <mergeCell ref="S643:S651"/>
    <mergeCell ref="N639:N640"/>
    <mergeCell ref="P641:P642"/>
    <mergeCell ref="Q643:Q644"/>
    <mergeCell ref="N643:N651"/>
    <mergeCell ref="N641:N642"/>
    <mergeCell ref="E674:I674"/>
    <mergeCell ref="O616:O617"/>
    <mergeCell ref="O643:O651"/>
    <mergeCell ref="L639:L640"/>
    <mergeCell ref="L643:L651"/>
    <mergeCell ref="M643:M651"/>
    <mergeCell ref="E640:F640"/>
    <mergeCell ref="M652:M658"/>
    <mergeCell ref="M622:M630"/>
    <mergeCell ref="M616:M617"/>
    <mergeCell ref="N652:N658"/>
    <mergeCell ref="O631:O634"/>
    <mergeCell ref="L631:L634"/>
    <mergeCell ref="M631:M634"/>
    <mergeCell ref="O635:O638"/>
    <mergeCell ref="M639:M640"/>
    <mergeCell ref="O652:O658"/>
    <mergeCell ref="Q157:Q158"/>
    <mergeCell ref="Q445:Q446"/>
    <mergeCell ref="E642:F642"/>
    <mergeCell ref="Q652:Q657"/>
    <mergeCell ref="P404:P407"/>
    <mergeCell ref="Q341:Q350"/>
    <mergeCell ref="Q297:Q300"/>
    <mergeCell ref="Q317:Q323"/>
    <mergeCell ref="N618:N621"/>
    <mergeCell ref="O641:O642"/>
    <mergeCell ref="C475:D477"/>
    <mergeCell ref="C437:D443"/>
    <mergeCell ref="C428:D435"/>
    <mergeCell ref="E659:F659"/>
    <mergeCell ref="C659:D659"/>
    <mergeCell ref="C642:D642"/>
    <mergeCell ref="C600:D607"/>
    <mergeCell ref="E509:F517"/>
    <mergeCell ref="G409:G415"/>
    <mergeCell ref="E423:F426"/>
    <mergeCell ref="E418:F421"/>
    <mergeCell ref="C466:D473"/>
    <mergeCell ref="E428:F435"/>
    <mergeCell ref="G428:G435"/>
    <mergeCell ref="C682:D682"/>
    <mergeCell ref="E682:F682"/>
    <mergeCell ref="E679:H679"/>
    <mergeCell ref="E675:I675"/>
    <mergeCell ref="E676:I676"/>
    <mergeCell ref="E677:I677"/>
    <mergeCell ref="E678:I678"/>
    <mergeCell ref="U321:U322"/>
    <mergeCell ref="T348:T354"/>
    <mergeCell ref="T329:T338"/>
    <mergeCell ref="T377:T380"/>
    <mergeCell ref="T321:T325"/>
    <mergeCell ref="M358:M374"/>
    <mergeCell ref="N358:N374"/>
    <mergeCell ref="O380:O390"/>
    <mergeCell ref="M380:M390"/>
    <mergeCell ref="N375:N379"/>
    <mergeCell ref="M375:M379"/>
    <mergeCell ref="O317:O327"/>
    <mergeCell ref="P380:P390"/>
    <mergeCell ref="P417:P421"/>
    <mergeCell ref="Q404:Q405"/>
    <mergeCell ref="P408:P416"/>
    <mergeCell ref="P375:P379"/>
    <mergeCell ref="Q375:Q379"/>
    <mergeCell ref="O417:O421"/>
    <mergeCell ref="O408:O416"/>
    <mergeCell ref="P341:P357"/>
    <mergeCell ref="P271:P274"/>
    <mergeCell ref="P266:P270"/>
    <mergeCell ref="Q328:Q330"/>
    <mergeCell ref="Q380:Q387"/>
    <mergeCell ref="P250:P253"/>
    <mergeCell ref="P218:P222"/>
    <mergeCell ref="P223:P227"/>
    <mergeCell ref="P192:P202"/>
    <mergeCell ref="P153:P156"/>
    <mergeCell ref="O132:O136"/>
    <mergeCell ref="O185:O191"/>
    <mergeCell ref="P213:P217"/>
    <mergeCell ref="O161:O184"/>
    <mergeCell ref="A101:A103"/>
    <mergeCell ref="A132:A136"/>
    <mergeCell ref="B137:B147"/>
    <mergeCell ref="B127:B131"/>
    <mergeCell ref="A114:A118"/>
    <mergeCell ref="A127:A131"/>
    <mergeCell ref="A110:A113"/>
    <mergeCell ref="B148:B152"/>
    <mergeCell ref="B114:B118"/>
    <mergeCell ref="E133:F136"/>
    <mergeCell ref="C138:D140"/>
    <mergeCell ref="A50:A65"/>
    <mergeCell ref="A92:A95"/>
    <mergeCell ref="B92:B95"/>
    <mergeCell ref="A72:A75"/>
    <mergeCell ref="B86:B91"/>
    <mergeCell ref="B50:B65"/>
    <mergeCell ref="B76:B85"/>
    <mergeCell ref="B72:B75"/>
    <mergeCell ref="A86:A91"/>
    <mergeCell ref="A66:A71"/>
    <mergeCell ref="B96:B100"/>
    <mergeCell ref="A123:A126"/>
    <mergeCell ref="A119:A122"/>
    <mergeCell ref="B312:B316"/>
    <mergeCell ref="B123:B126"/>
    <mergeCell ref="A312:A316"/>
    <mergeCell ref="A137:A147"/>
    <mergeCell ref="A157:A160"/>
    <mergeCell ref="A185:A191"/>
    <mergeCell ref="A96:A100"/>
    <mergeCell ref="L157:L160"/>
    <mergeCell ref="G267:G268"/>
    <mergeCell ref="G276:G277"/>
    <mergeCell ref="L223:L227"/>
    <mergeCell ref="L185:L191"/>
    <mergeCell ref="A161:A184"/>
    <mergeCell ref="B157:B160"/>
    <mergeCell ref="E158:F160"/>
    <mergeCell ref="E298:F303"/>
    <mergeCell ref="E186:F191"/>
    <mergeCell ref="L213:L217"/>
    <mergeCell ref="L192:L202"/>
    <mergeCell ref="L218:L222"/>
    <mergeCell ref="L203:L208"/>
    <mergeCell ref="G193:G194"/>
    <mergeCell ref="E162:F184"/>
    <mergeCell ref="L161:L184"/>
    <mergeCell ref="G186:G191"/>
    <mergeCell ref="L404:L407"/>
    <mergeCell ref="L328:L340"/>
    <mergeCell ref="L266:L270"/>
    <mergeCell ref="L275:L279"/>
    <mergeCell ref="L280:L282"/>
    <mergeCell ref="L312:L316"/>
    <mergeCell ref="L304:L311"/>
    <mergeCell ref="L358:L374"/>
    <mergeCell ref="G392:G400"/>
    <mergeCell ref="E281:F282"/>
    <mergeCell ref="C224:D225"/>
    <mergeCell ref="G229:G236"/>
    <mergeCell ref="G245:G246"/>
    <mergeCell ref="G284:G289"/>
    <mergeCell ref="G262:G265"/>
    <mergeCell ref="L317:L327"/>
    <mergeCell ref="G342:G353"/>
    <mergeCell ref="L380:L390"/>
    <mergeCell ref="G381:G388"/>
    <mergeCell ref="A76:A85"/>
    <mergeCell ref="A209:A212"/>
    <mergeCell ref="B110:B113"/>
    <mergeCell ref="C298:D301"/>
    <mergeCell ref="C193:D195"/>
    <mergeCell ref="B203:B208"/>
    <mergeCell ref="C124:D124"/>
    <mergeCell ref="B244:B249"/>
    <mergeCell ref="C245:D246"/>
    <mergeCell ref="C204:D205"/>
    <mergeCell ref="B213:B217"/>
    <mergeCell ref="B209:B212"/>
    <mergeCell ref="A192:A202"/>
    <mergeCell ref="B185:B191"/>
    <mergeCell ref="A203:A208"/>
    <mergeCell ref="B192:B202"/>
    <mergeCell ref="B66:B71"/>
    <mergeCell ref="C78:D78"/>
    <mergeCell ref="A153:A156"/>
    <mergeCell ref="A148:A152"/>
    <mergeCell ref="B132:B136"/>
    <mergeCell ref="B153:B156"/>
    <mergeCell ref="B119:B122"/>
    <mergeCell ref="A104:A109"/>
    <mergeCell ref="C93:D93"/>
    <mergeCell ref="C67:D67"/>
    <mergeCell ref="A16:A24"/>
    <mergeCell ref="E17:F24"/>
    <mergeCell ref="B25:B36"/>
    <mergeCell ref="C40:D42"/>
    <mergeCell ref="A39:A49"/>
    <mergeCell ref="B39:B49"/>
    <mergeCell ref="E10:F10"/>
    <mergeCell ref="C12:D12"/>
    <mergeCell ref="A271:A274"/>
    <mergeCell ref="B37:B38"/>
    <mergeCell ref="E38:F38"/>
    <mergeCell ref="B16:B24"/>
    <mergeCell ref="C17:D17"/>
    <mergeCell ref="E124:F126"/>
    <mergeCell ref="B228:B243"/>
    <mergeCell ref="E128:F131"/>
    <mergeCell ref="A25:A36"/>
    <mergeCell ref="C38:D38"/>
    <mergeCell ref="C26:D28"/>
    <mergeCell ref="A37:A38"/>
    <mergeCell ref="C10:D10"/>
    <mergeCell ref="A11:A15"/>
    <mergeCell ref="B11:B15"/>
    <mergeCell ref="B9:B10"/>
    <mergeCell ref="A9:A10"/>
    <mergeCell ref="B380:B390"/>
    <mergeCell ref="C405:D406"/>
    <mergeCell ref="E409:F416"/>
    <mergeCell ref="E305:F311"/>
    <mergeCell ref="E405:F407"/>
    <mergeCell ref="A404:A407"/>
    <mergeCell ref="B445:B448"/>
    <mergeCell ref="A563:A566"/>
    <mergeCell ref="B480:B486"/>
    <mergeCell ref="B427:B435"/>
    <mergeCell ref="A537:A562"/>
    <mergeCell ref="B537:B562"/>
    <mergeCell ref="B436:B444"/>
    <mergeCell ref="A422:A426"/>
    <mergeCell ref="A502:A507"/>
    <mergeCell ref="A595:A598"/>
    <mergeCell ref="B652:B658"/>
    <mergeCell ref="A639:A640"/>
    <mergeCell ref="B639:B640"/>
    <mergeCell ref="A599:A607"/>
    <mergeCell ref="A616:A617"/>
    <mergeCell ref="A618:A621"/>
    <mergeCell ref="B599:B607"/>
    <mergeCell ref="A652:A658"/>
    <mergeCell ref="B641:B642"/>
    <mergeCell ref="B618:B621"/>
    <mergeCell ref="B616:B617"/>
    <mergeCell ref="A635:A638"/>
    <mergeCell ref="A530:A536"/>
    <mergeCell ref="B465:B473"/>
    <mergeCell ref="A465:A473"/>
    <mergeCell ref="A449:A464"/>
    <mergeCell ref="B530:B536"/>
    <mergeCell ref="A508:A517"/>
    <mergeCell ref="B508:B517"/>
    <mergeCell ref="A622:A630"/>
    <mergeCell ref="A643:A651"/>
    <mergeCell ref="A641:A642"/>
    <mergeCell ref="A631:A634"/>
    <mergeCell ref="C636:D636"/>
    <mergeCell ref="C640:D640"/>
    <mergeCell ref="B635:B638"/>
    <mergeCell ref="C632:D633"/>
    <mergeCell ref="L595:L598"/>
    <mergeCell ref="G600:G607"/>
    <mergeCell ref="G596:G597"/>
    <mergeCell ref="E623:F630"/>
    <mergeCell ref="L622:L630"/>
    <mergeCell ref="E600:F607"/>
    <mergeCell ref="C617:D617"/>
    <mergeCell ref="C609:D609"/>
    <mergeCell ref="C623:D628"/>
    <mergeCell ref="L618:L621"/>
    <mergeCell ref="C653:D657"/>
    <mergeCell ref="B643:B651"/>
    <mergeCell ref="E636:F638"/>
    <mergeCell ref="E617:F617"/>
    <mergeCell ref="C619:D619"/>
    <mergeCell ref="E653:F658"/>
    <mergeCell ref="C644:D649"/>
    <mergeCell ref="E632:F634"/>
    <mergeCell ref="B631:B634"/>
    <mergeCell ref="B622:B630"/>
    <mergeCell ref="Q492:Q499"/>
    <mergeCell ref="Q616:Q617"/>
    <mergeCell ref="Q631:Q632"/>
    <mergeCell ref="O599:O607"/>
    <mergeCell ref="O590:O594"/>
    <mergeCell ref="Q599:Q606"/>
    <mergeCell ref="P608:P615"/>
    <mergeCell ref="P526:P529"/>
    <mergeCell ref="O526:O529"/>
    <mergeCell ref="O518:O525"/>
    <mergeCell ref="L652:L658"/>
    <mergeCell ref="E644:F651"/>
    <mergeCell ref="L616:L617"/>
    <mergeCell ref="G623:G627"/>
    <mergeCell ref="E619:F621"/>
    <mergeCell ref="G653:G657"/>
    <mergeCell ref="G644:G649"/>
    <mergeCell ref="G632:G633"/>
    <mergeCell ref="L635:L638"/>
    <mergeCell ref="L641:L642"/>
    <mergeCell ref="S652:S658"/>
    <mergeCell ref="S567:S568"/>
    <mergeCell ref="S641:S642"/>
    <mergeCell ref="S618:S621"/>
    <mergeCell ref="S599:S607"/>
    <mergeCell ref="S595:S598"/>
    <mergeCell ref="S590:S594"/>
    <mergeCell ref="S616:S617"/>
    <mergeCell ref="M641:M642"/>
    <mergeCell ref="Q502:Q504"/>
    <mergeCell ref="Q590:Q592"/>
    <mergeCell ref="P502:P507"/>
    <mergeCell ref="O508:O517"/>
    <mergeCell ref="N569:N589"/>
    <mergeCell ref="P590:P594"/>
    <mergeCell ref="P631:P634"/>
    <mergeCell ref="N631:N634"/>
    <mergeCell ref="P563:P566"/>
    <mergeCell ref="O639:O640"/>
    <mergeCell ref="O595:O598"/>
    <mergeCell ref="N590:N594"/>
    <mergeCell ref="M599:M607"/>
    <mergeCell ref="N616:N617"/>
    <mergeCell ref="N622:N630"/>
    <mergeCell ref="O622:O630"/>
    <mergeCell ref="M618:M621"/>
    <mergeCell ref="M595:M598"/>
    <mergeCell ref="N595:N598"/>
    <mergeCell ref="N599:N607"/>
    <mergeCell ref="P616:P617"/>
    <mergeCell ref="O618:O621"/>
    <mergeCell ref="M635:M638"/>
    <mergeCell ref="N635:N638"/>
    <mergeCell ref="G531:G532"/>
    <mergeCell ref="L563:L566"/>
    <mergeCell ref="L530:L536"/>
    <mergeCell ref="E531:F536"/>
    <mergeCell ref="E538:F562"/>
    <mergeCell ref="E564:F566"/>
    <mergeCell ref="P622:P630"/>
    <mergeCell ref="M563:M566"/>
    <mergeCell ref="E568:F568"/>
    <mergeCell ref="M567:M568"/>
    <mergeCell ref="P618:P621"/>
    <mergeCell ref="O569:O589"/>
    <mergeCell ref="N608:N615"/>
    <mergeCell ref="O567:O568"/>
    <mergeCell ref="P567:P568"/>
    <mergeCell ref="O608:O615"/>
    <mergeCell ref="L518:L525"/>
    <mergeCell ref="E519:F525"/>
    <mergeCell ref="G423:G425"/>
    <mergeCell ref="B304:B311"/>
    <mergeCell ref="C423:D425"/>
    <mergeCell ref="B449:B464"/>
    <mergeCell ref="L492:L501"/>
    <mergeCell ref="B408:B416"/>
    <mergeCell ref="B422:B426"/>
    <mergeCell ref="B404:B407"/>
    <mergeCell ref="C376:D379"/>
    <mergeCell ref="C381:D389"/>
    <mergeCell ref="C329:D332"/>
    <mergeCell ref="C318:D326"/>
    <mergeCell ref="C519:D520"/>
    <mergeCell ref="C305:D308"/>
    <mergeCell ref="A304:A311"/>
    <mergeCell ref="A518:A525"/>
    <mergeCell ref="A380:A390"/>
    <mergeCell ref="A375:A379"/>
    <mergeCell ref="B375:B379"/>
    <mergeCell ref="A358:A374"/>
    <mergeCell ref="B358:B374"/>
    <mergeCell ref="C313:D313"/>
    <mergeCell ref="M11:M15"/>
    <mergeCell ref="N11:N15"/>
    <mergeCell ref="B328:B340"/>
    <mergeCell ref="A317:A327"/>
    <mergeCell ref="B317:B327"/>
    <mergeCell ref="A297:A303"/>
    <mergeCell ref="B297:B303"/>
    <mergeCell ref="E67:F71"/>
    <mergeCell ref="E193:F202"/>
    <mergeCell ref="E276:F279"/>
    <mergeCell ref="CY5:CY6"/>
    <mergeCell ref="CZ5:CZ6"/>
    <mergeCell ref="N280:N282"/>
    <mergeCell ref="L16:L24"/>
    <mergeCell ref="M16:M24"/>
    <mergeCell ref="N9:N10"/>
    <mergeCell ref="M9:M10"/>
    <mergeCell ref="M280:M282"/>
    <mergeCell ref="N16:N24"/>
    <mergeCell ref="L11:L15"/>
    <mergeCell ref="DS5:DS6"/>
    <mergeCell ref="DT5:DT6"/>
    <mergeCell ref="DN5:DN6"/>
    <mergeCell ref="DO5:DO6"/>
    <mergeCell ref="FT5:FT6"/>
    <mergeCell ref="EX5:EX6"/>
    <mergeCell ref="EW5:EW6"/>
    <mergeCell ref="ED5:ED6"/>
    <mergeCell ref="EE5:EF5"/>
    <mergeCell ref="ER5:ER6"/>
    <mergeCell ref="FK5:FK6"/>
    <mergeCell ref="FL5:FL6"/>
    <mergeCell ref="FS5:FS6"/>
    <mergeCell ref="FN5:FR5"/>
    <mergeCell ref="FM5:FM6"/>
    <mergeCell ref="GA5:GA6"/>
    <mergeCell ref="GH5:GH6"/>
    <mergeCell ref="GO5:GO6"/>
    <mergeCell ref="FU5:FU6"/>
    <mergeCell ref="FV5:FV6"/>
    <mergeCell ref="HQ5:HR5"/>
    <mergeCell ref="HN5:HN6"/>
    <mergeCell ref="HM5:HM6"/>
    <mergeCell ref="HL5:HL6"/>
    <mergeCell ref="FW5:FW6"/>
    <mergeCell ref="HE5:HE6"/>
    <mergeCell ref="HP5:HP6"/>
    <mergeCell ref="GZ5:GZ6"/>
    <mergeCell ref="FX5:FY5"/>
    <mergeCell ref="GB5:GB6"/>
    <mergeCell ref="GX5:GX6"/>
    <mergeCell ref="GC5:GG5"/>
    <mergeCell ref="GP5:GP6"/>
    <mergeCell ref="GQ5:GQ6"/>
    <mergeCell ref="FZ5:FZ6"/>
    <mergeCell ref="GR5:GV5"/>
    <mergeCell ref="IA5:IA6"/>
    <mergeCell ref="HO5:HO6"/>
    <mergeCell ref="HT5:HT6"/>
    <mergeCell ref="HB5:HC5"/>
    <mergeCell ref="HV5:HZ5"/>
    <mergeCell ref="GJ5:GJ6"/>
    <mergeCell ref="GI5:GI6"/>
    <mergeCell ref="GY5:GY6"/>
    <mergeCell ref="IH5:IH6"/>
    <mergeCell ref="HF5:HF6"/>
    <mergeCell ref="HD5:HD6"/>
    <mergeCell ref="GK5:GK6"/>
    <mergeCell ref="GL5:GL6"/>
    <mergeCell ref="HA5:HA6"/>
    <mergeCell ref="GW5:GW6"/>
    <mergeCell ref="HS5:HS6"/>
    <mergeCell ref="HU5:HU6"/>
    <mergeCell ref="GM5:GN5"/>
    <mergeCell ref="IF5:IG5"/>
    <mergeCell ref="HG5:HK5"/>
    <mergeCell ref="IR5:IR6"/>
    <mergeCell ref="IB5:IB6"/>
    <mergeCell ref="IC5:IC6"/>
    <mergeCell ref="ID5:ID6"/>
    <mergeCell ref="IE5:IE6"/>
    <mergeCell ref="IP5:IP6"/>
    <mergeCell ref="IQ5:IQ6"/>
    <mergeCell ref="IK5:IO5"/>
    <mergeCell ref="II5:II6"/>
    <mergeCell ref="IJ5:IJ6"/>
    <mergeCell ref="EQ5:EQ6"/>
    <mergeCell ref="FF5:FF6"/>
    <mergeCell ref="FG5:FG6"/>
    <mergeCell ref="FH5:FH6"/>
    <mergeCell ref="FI5:FJ5"/>
    <mergeCell ref="EY5:FC5"/>
    <mergeCell ref="FD5:FD6"/>
    <mergeCell ref="FE5:FE6"/>
    <mergeCell ref="ET5:EU5"/>
    <mergeCell ref="EV5:EV6"/>
    <mergeCell ref="EG5:EG6"/>
    <mergeCell ref="EH5:EH6"/>
    <mergeCell ref="EI5:EI6"/>
    <mergeCell ref="EP5:EP6"/>
    <mergeCell ref="ES5:ES6"/>
    <mergeCell ref="EB5:EB6"/>
    <mergeCell ref="EC5:EC6"/>
    <mergeCell ref="EO5:EO6"/>
    <mergeCell ref="EJ5:EN5"/>
    <mergeCell ref="CW5:CW6"/>
    <mergeCell ref="CX5:CX6"/>
    <mergeCell ref="DZ5:DZ6"/>
    <mergeCell ref="EA5:EA6"/>
    <mergeCell ref="DU5:DY5"/>
    <mergeCell ref="DK5:DK6"/>
    <mergeCell ref="DL5:DL6"/>
    <mergeCell ref="DM5:DM6"/>
    <mergeCell ref="DP5:DQ5"/>
    <mergeCell ref="DR5:DR6"/>
    <mergeCell ref="CO5:CO6"/>
    <mergeCell ref="CP5:CP6"/>
    <mergeCell ref="CQ5:CU5"/>
    <mergeCell ref="CV5:CV6"/>
    <mergeCell ref="DA5:DB5"/>
    <mergeCell ref="DC5:DC6"/>
    <mergeCell ref="DD5:DD6"/>
    <mergeCell ref="DE5:DE6"/>
    <mergeCell ref="CJ5:CJ6"/>
    <mergeCell ref="CK5:CK6"/>
    <mergeCell ref="CL5:CM5"/>
    <mergeCell ref="CN5:CN6"/>
    <mergeCell ref="CB5:CF5"/>
    <mergeCell ref="CG5:CG6"/>
    <mergeCell ref="CH5:CH6"/>
    <mergeCell ref="CI5:CI6"/>
    <mergeCell ref="BW5:BX5"/>
    <mergeCell ref="BY5:BY6"/>
    <mergeCell ref="BZ5:BZ6"/>
    <mergeCell ref="CA5:CA6"/>
    <mergeCell ref="BS5:BS6"/>
    <mergeCell ref="BT5:BT6"/>
    <mergeCell ref="BU5:BU6"/>
    <mergeCell ref="BV5:BV6"/>
    <mergeCell ref="BK5:BK6"/>
    <mergeCell ref="BL5:BL6"/>
    <mergeCell ref="BM5:BQ5"/>
    <mergeCell ref="BR5:BR6"/>
    <mergeCell ref="BF5:BF6"/>
    <mergeCell ref="BG5:BG6"/>
    <mergeCell ref="BH5:BI5"/>
    <mergeCell ref="BJ5:BJ6"/>
    <mergeCell ref="AX5:BB5"/>
    <mergeCell ref="BC5:BC6"/>
    <mergeCell ref="BD5:BD6"/>
    <mergeCell ref="BE5:BE6"/>
    <mergeCell ref="AS5:AT5"/>
    <mergeCell ref="AU5:AU6"/>
    <mergeCell ref="AV5:AV6"/>
    <mergeCell ref="AW5:AW6"/>
    <mergeCell ref="AO5:AO6"/>
    <mergeCell ref="AP5:AP6"/>
    <mergeCell ref="AQ5:AQ6"/>
    <mergeCell ref="AR5:AR6"/>
    <mergeCell ref="AN5:AN6"/>
    <mergeCell ref="AD5:AE5"/>
    <mergeCell ref="AF5:AF6"/>
    <mergeCell ref="AG5:AG6"/>
    <mergeCell ref="AH5:AH6"/>
    <mergeCell ref="O271:O274"/>
    <mergeCell ref="AI5:AM5"/>
    <mergeCell ref="AB5:AB6"/>
    <mergeCell ref="AC5:AC6"/>
    <mergeCell ref="S7:S8"/>
    <mergeCell ref="Y5:Y6"/>
    <mergeCell ref="Q119:Q120"/>
    <mergeCell ref="P161:P184"/>
    <mergeCell ref="Q127:Q128"/>
    <mergeCell ref="Q185:Q191"/>
    <mergeCell ref="AA5:AA6"/>
    <mergeCell ref="T5:T6"/>
    <mergeCell ref="S5:S6"/>
    <mergeCell ref="Q5:Q6"/>
    <mergeCell ref="Z5:Z6"/>
    <mergeCell ref="P104:P109"/>
    <mergeCell ref="P209:P212"/>
    <mergeCell ref="T106:T107"/>
    <mergeCell ref="T175:T178"/>
    <mergeCell ref="T114:T118"/>
    <mergeCell ref="T99:T101"/>
    <mergeCell ref="P185:P191"/>
    <mergeCell ref="Q203:Q204"/>
    <mergeCell ref="P5:P6"/>
    <mergeCell ref="A7:A8"/>
    <mergeCell ref="B7:B8"/>
    <mergeCell ref="E8:F8"/>
    <mergeCell ref="Q266:Q267"/>
    <mergeCell ref="N7:N8"/>
    <mergeCell ref="Q254:Q255"/>
    <mergeCell ref="P261:P265"/>
    <mergeCell ref="P254:P260"/>
    <mergeCell ref="O254:O260"/>
    <mergeCell ref="P203:P208"/>
    <mergeCell ref="M5:M6"/>
    <mergeCell ref="L7:L8"/>
    <mergeCell ref="C8:D8"/>
    <mergeCell ref="M7:M8"/>
    <mergeCell ref="E6:F6"/>
    <mergeCell ref="A5:A6"/>
    <mergeCell ref="B5:B6"/>
    <mergeCell ref="C5:D5"/>
    <mergeCell ref="H5:L5"/>
    <mergeCell ref="N4:T4"/>
    <mergeCell ref="O5:O6"/>
    <mergeCell ref="R5:R6"/>
    <mergeCell ref="S9:S10"/>
    <mergeCell ref="T7:T8"/>
    <mergeCell ref="O9:O10"/>
    <mergeCell ref="O7:O8"/>
    <mergeCell ref="P7:P8"/>
    <mergeCell ref="P9:P10"/>
    <mergeCell ref="P275:P279"/>
    <mergeCell ref="O275:O279"/>
    <mergeCell ref="Q487:Q488"/>
    <mergeCell ref="Q9:Q10"/>
    <mergeCell ref="Q275:Q276"/>
    <mergeCell ref="Q250:Q252"/>
    <mergeCell ref="P37:P38"/>
    <mergeCell ref="Q271:Q273"/>
    <mergeCell ref="O283:O296"/>
    <mergeCell ref="T53:T60"/>
    <mergeCell ref="T79:T80"/>
    <mergeCell ref="T131:T132"/>
    <mergeCell ref="T75:T76"/>
    <mergeCell ref="T93:T95"/>
    <mergeCell ref="T83:T85"/>
    <mergeCell ref="T69:T70"/>
    <mergeCell ref="T135:T137"/>
    <mergeCell ref="S317:S327"/>
    <mergeCell ref="T294:T295"/>
    <mergeCell ref="S283:S296"/>
    <mergeCell ref="T209:T211"/>
    <mergeCell ref="T302:T306"/>
    <mergeCell ref="T307:T309"/>
    <mergeCell ref="T244:T246"/>
    <mergeCell ref="T146:T148"/>
    <mergeCell ref="T183:T184"/>
    <mergeCell ref="S474:S479"/>
    <mergeCell ref="T498:T504"/>
    <mergeCell ref="T278:T289"/>
    <mergeCell ref="S266:S270"/>
    <mergeCell ref="S487:S491"/>
    <mergeCell ref="T297:T298"/>
    <mergeCell ref="T397:T400"/>
    <mergeCell ref="T391:T394"/>
    <mergeCell ref="S297:S303"/>
    <mergeCell ref="S341:S357"/>
    <mergeCell ref="T579:T583"/>
    <mergeCell ref="T418:T424"/>
    <mergeCell ref="T505:T512"/>
    <mergeCell ref="T570:T578"/>
    <mergeCell ref="T451:T460"/>
    <mergeCell ref="T540:T543"/>
    <mergeCell ref="T462:T472"/>
    <mergeCell ref="T474:T481"/>
    <mergeCell ref="T484:T487"/>
    <mergeCell ref="T561:T569"/>
    <mergeCell ref="S417:S421"/>
    <mergeCell ref="T341:T342"/>
    <mergeCell ref="S328:S340"/>
    <mergeCell ref="S375:S379"/>
    <mergeCell ref="T406:T415"/>
    <mergeCell ref="S518:S525"/>
    <mergeCell ref="S465:S473"/>
    <mergeCell ref="S492:S501"/>
    <mergeCell ref="S449:S464"/>
    <mergeCell ref="T544:T548"/>
    <mergeCell ref="T425:T437"/>
    <mergeCell ref="T515:T536"/>
    <mergeCell ref="T446:T450"/>
    <mergeCell ref="T489:T497"/>
    <mergeCell ref="T104:T105"/>
    <mergeCell ref="T125:T126"/>
    <mergeCell ref="S530:S536"/>
    <mergeCell ref="T316:T319"/>
    <mergeCell ref="S110:S113"/>
    <mergeCell ref="S312:S316"/>
    <mergeCell ref="S157:S160"/>
    <mergeCell ref="T266:T270"/>
    <mergeCell ref="T311:T313"/>
    <mergeCell ref="T229:T233"/>
    <mergeCell ref="T234:T237"/>
    <mergeCell ref="T219:T222"/>
    <mergeCell ref="S148:S152"/>
    <mergeCell ref="S153:S156"/>
    <mergeCell ref="T224:T225"/>
    <mergeCell ref="S203:S208"/>
    <mergeCell ref="T156:T157"/>
    <mergeCell ref="S213:S217"/>
    <mergeCell ref="T188:T189"/>
    <mergeCell ref="T214:T218"/>
    <mergeCell ref="S209:S212"/>
    <mergeCell ref="T151:T152"/>
    <mergeCell ref="S161:S184"/>
    <mergeCell ref="S192:S202"/>
    <mergeCell ref="T161:T171"/>
    <mergeCell ref="T141:T142"/>
    <mergeCell ref="S185:S191"/>
    <mergeCell ref="T192:T207"/>
    <mergeCell ref="S445:S448"/>
    <mergeCell ref="Q223:Q224"/>
    <mergeCell ref="S228:S243"/>
    <mergeCell ref="Q261:Q263"/>
    <mergeCell ref="S261:S265"/>
    <mergeCell ref="Q244:Q245"/>
    <mergeCell ref="S223:S227"/>
    <mergeCell ref="S244:S249"/>
    <mergeCell ref="S304:S311"/>
    <mergeCell ref="Q465:Q470"/>
    <mergeCell ref="Q408:Q413"/>
    <mergeCell ref="Q304:Q306"/>
    <mergeCell ref="Q391:Q400"/>
    <mergeCell ref="Q537:Q554"/>
    <mergeCell ref="T249:T250"/>
    <mergeCell ref="T386:T387"/>
    <mergeCell ref="S436:S444"/>
    <mergeCell ref="S422:S426"/>
    <mergeCell ref="T357:T369"/>
    <mergeCell ref="S427:S435"/>
    <mergeCell ref="S271:S274"/>
    <mergeCell ref="Q480:Q483"/>
    <mergeCell ref="Q436:Q442"/>
    <mergeCell ref="S218:S222"/>
    <mergeCell ref="P427:P435"/>
    <mergeCell ref="Q218:Q219"/>
    <mergeCell ref="Q228:Q233"/>
    <mergeCell ref="Q427:Q434"/>
    <mergeCell ref="Q422:Q424"/>
    <mergeCell ref="S250:S253"/>
    <mergeCell ref="S408:S416"/>
    <mergeCell ref="S380:S390"/>
    <mergeCell ref="S404:S407"/>
    <mergeCell ref="O436:O444"/>
    <mergeCell ref="L408:L416"/>
    <mergeCell ref="M404:M407"/>
    <mergeCell ref="M408:M416"/>
    <mergeCell ref="O427:O435"/>
    <mergeCell ref="O422:O426"/>
    <mergeCell ref="L427:L435"/>
    <mergeCell ref="L422:L426"/>
    <mergeCell ref="M436:M444"/>
    <mergeCell ref="O404:O407"/>
    <mergeCell ref="E138:F147"/>
    <mergeCell ref="C149:D149"/>
    <mergeCell ref="B161:B184"/>
    <mergeCell ref="Q86:Q87"/>
    <mergeCell ref="P86:P91"/>
    <mergeCell ref="Q123:Q124"/>
    <mergeCell ref="Q114:Q115"/>
    <mergeCell ref="Q110:Q111"/>
    <mergeCell ref="M96:M100"/>
    <mergeCell ref="E102:F103"/>
    <mergeCell ref="M86:M91"/>
    <mergeCell ref="M76:M85"/>
    <mergeCell ref="C102:D102"/>
    <mergeCell ref="E73:F75"/>
    <mergeCell ref="C133:D133"/>
    <mergeCell ref="C73:D73"/>
    <mergeCell ref="E40:F49"/>
    <mergeCell ref="E115:F118"/>
    <mergeCell ref="C51:D57"/>
    <mergeCell ref="C120:D120"/>
    <mergeCell ref="E51:F65"/>
    <mergeCell ref="E120:F122"/>
    <mergeCell ref="S25:S36"/>
    <mergeCell ref="Q37:Q38"/>
    <mergeCell ref="E26:F36"/>
    <mergeCell ref="P92:P95"/>
    <mergeCell ref="E77:F85"/>
    <mergeCell ref="N72:N75"/>
    <mergeCell ref="M72:M75"/>
    <mergeCell ref="E93:F95"/>
    <mergeCell ref="M66:M71"/>
    <mergeCell ref="N66:N71"/>
    <mergeCell ref="L37:L38"/>
    <mergeCell ref="L92:L95"/>
    <mergeCell ref="G51:G55"/>
    <mergeCell ref="G26:G28"/>
    <mergeCell ref="L25:L36"/>
    <mergeCell ref="L39:L49"/>
    <mergeCell ref="L66:L71"/>
    <mergeCell ref="G40:G41"/>
    <mergeCell ref="L72:L75"/>
    <mergeCell ref="L50:L65"/>
    <mergeCell ref="N110:N113"/>
    <mergeCell ref="O148:O152"/>
    <mergeCell ref="N137:N147"/>
    <mergeCell ref="N119:N122"/>
    <mergeCell ref="N123:N126"/>
    <mergeCell ref="N132:N136"/>
    <mergeCell ref="N148:N152"/>
    <mergeCell ref="P132:P136"/>
    <mergeCell ref="P114:P118"/>
    <mergeCell ref="N114:N118"/>
    <mergeCell ref="S119:S122"/>
    <mergeCell ref="Q101:Q102"/>
    <mergeCell ref="Q148:Q149"/>
    <mergeCell ref="O96:O100"/>
    <mergeCell ref="S137:S147"/>
    <mergeCell ref="O104:O109"/>
    <mergeCell ref="S104:S109"/>
    <mergeCell ref="S114:S118"/>
    <mergeCell ref="S37:S38"/>
    <mergeCell ref="Q50:Q51"/>
    <mergeCell ref="Q66:Q67"/>
    <mergeCell ref="S96:S100"/>
    <mergeCell ref="S92:S95"/>
    <mergeCell ref="Q92:Q93"/>
    <mergeCell ref="S76:S85"/>
    <mergeCell ref="O223:O227"/>
    <mergeCell ref="S16:S24"/>
    <mergeCell ref="S72:S75"/>
    <mergeCell ref="S50:S65"/>
    <mergeCell ref="S86:S91"/>
    <mergeCell ref="Q104:Q105"/>
    <mergeCell ref="Q161:Q169"/>
    <mergeCell ref="S66:S71"/>
    <mergeCell ref="P358:P374"/>
    <mergeCell ref="N244:N249"/>
    <mergeCell ref="M275:M279"/>
    <mergeCell ref="M304:M311"/>
    <mergeCell ref="N261:N265"/>
    <mergeCell ref="O266:O270"/>
    <mergeCell ref="O250:O253"/>
    <mergeCell ref="O280:O282"/>
    <mergeCell ref="P304:P311"/>
    <mergeCell ref="P317:P327"/>
    <mergeCell ref="A254:A260"/>
    <mergeCell ref="C276:D277"/>
    <mergeCell ref="L250:L253"/>
    <mergeCell ref="M218:M222"/>
    <mergeCell ref="C219:D219"/>
    <mergeCell ref="C229:D237"/>
    <mergeCell ref="B275:B279"/>
    <mergeCell ref="G255:G256"/>
    <mergeCell ref="E272:F274"/>
    <mergeCell ref="E262:F265"/>
    <mergeCell ref="A250:A253"/>
    <mergeCell ref="A213:A217"/>
    <mergeCell ref="N223:N227"/>
    <mergeCell ref="A283:A296"/>
    <mergeCell ref="E219:F222"/>
    <mergeCell ref="B271:B274"/>
    <mergeCell ref="E214:F217"/>
    <mergeCell ref="A223:A227"/>
    <mergeCell ref="A228:A243"/>
    <mergeCell ref="B218:B222"/>
    <mergeCell ref="C251:D253"/>
    <mergeCell ref="E251:F253"/>
    <mergeCell ref="C255:D256"/>
    <mergeCell ref="E381:F390"/>
    <mergeCell ref="C359:D367"/>
    <mergeCell ref="C281:D281"/>
    <mergeCell ref="E318:F327"/>
    <mergeCell ref="E329:F340"/>
    <mergeCell ref="E359:F374"/>
    <mergeCell ref="E376:F379"/>
    <mergeCell ref="O153:O156"/>
    <mergeCell ref="N161:N184"/>
    <mergeCell ref="N192:N202"/>
    <mergeCell ref="O157:O160"/>
    <mergeCell ref="N185:N191"/>
    <mergeCell ref="N157:N160"/>
    <mergeCell ref="N153:N156"/>
    <mergeCell ref="M119:M122"/>
    <mergeCell ref="M123:M126"/>
    <mergeCell ref="L137:L147"/>
    <mergeCell ref="L148:L152"/>
    <mergeCell ref="L132:L136"/>
    <mergeCell ref="L153:L156"/>
    <mergeCell ref="M148:M152"/>
    <mergeCell ref="L123:L126"/>
    <mergeCell ref="M127:M131"/>
    <mergeCell ref="L127:L131"/>
    <mergeCell ref="M153:M156"/>
    <mergeCell ref="P312:P316"/>
    <mergeCell ref="N213:N217"/>
    <mergeCell ref="N203:N208"/>
    <mergeCell ref="E210:F212"/>
    <mergeCell ref="E255:F260"/>
    <mergeCell ref="E245:F249"/>
    <mergeCell ref="G305:G308"/>
    <mergeCell ref="L297:L303"/>
    <mergeCell ref="L283:L296"/>
    <mergeCell ref="M209:M212"/>
    <mergeCell ref="M157:M160"/>
    <mergeCell ref="M137:M147"/>
    <mergeCell ref="M185:M191"/>
    <mergeCell ref="M203:M208"/>
    <mergeCell ref="M192:M202"/>
    <mergeCell ref="M161:M184"/>
    <mergeCell ref="E97:F100"/>
    <mergeCell ref="L110:L113"/>
    <mergeCell ref="E111:F113"/>
    <mergeCell ref="P123:P126"/>
    <mergeCell ref="M101:M103"/>
    <mergeCell ref="P96:P100"/>
    <mergeCell ref="L101:L103"/>
    <mergeCell ref="M114:M118"/>
    <mergeCell ref="L119:L122"/>
    <mergeCell ref="M104:M109"/>
    <mergeCell ref="C105:D105"/>
    <mergeCell ref="P148:P152"/>
    <mergeCell ref="P127:P131"/>
    <mergeCell ref="N127:N131"/>
    <mergeCell ref="M132:M136"/>
    <mergeCell ref="C111:D111"/>
    <mergeCell ref="N104:N109"/>
    <mergeCell ref="C115:D115"/>
    <mergeCell ref="L114:L118"/>
    <mergeCell ref="M110:M113"/>
    <mergeCell ref="P101:P103"/>
    <mergeCell ref="C87:D88"/>
    <mergeCell ref="B104:B109"/>
    <mergeCell ref="L104:L109"/>
    <mergeCell ref="L96:L100"/>
    <mergeCell ref="B101:B103"/>
    <mergeCell ref="E105:F109"/>
    <mergeCell ref="E87:F91"/>
    <mergeCell ref="L86:L91"/>
    <mergeCell ref="C97:D97"/>
    <mergeCell ref="O127:O131"/>
    <mergeCell ref="P119:P122"/>
    <mergeCell ref="O123:O126"/>
    <mergeCell ref="O137:O147"/>
    <mergeCell ref="P39:P49"/>
    <mergeCell ref="N96:N100"/>
    <mergeCell ref="N92:N95"/>
    <mergeCell ref="O86:O91"/>
    <mergeCell ref="O39:O49"/>
    <mergeCell ref="O50:O65"/>
    <mergeCell ref="O92:O95"/>
    <mergeCell ref="P50:P65"/>
    <mergeCell ref="O76:O85"/>
    <mergeCell ref="M39:M49"/>
    <mergeCell ref="N39:N49"/>
    <mergeCell ref="P76:P85"/>
    <mergeCell ref="N25:N36"/>
    <mergeCell ref="P66:P71"/>
    <mergeCell ref="N76:N85"/>
    <mergeCell ref="M37:M38"/>
    <mergeCell ref="N50:N65"/>
    <mergeCell ref="O66:O71"/>
    <mergeCell ref="P25:P36"/>
    <mergeCell ref="C128:D128"/>
    <mergeCell ref="E149:F152"/>
    <mergeCell ref="G251:G253"/>
    <mergeCell ref="B250:B253"/>
    <mergeCell ref="G162:G173"/>
    <mergeCell ref="E229:F243"/>
    <mergeCell ref="C154:D154"/>
    <mergeCell ref="C158:D158"/>
    <mergeCell ref="E154:F156"/>
    <mergeCell ref="C210:D210"/>
    <mergeCell ref="C162:D173"/>
    <mergeCell ref="C186:D191"/>
    <mergeCell ref="P244:P249"/>
    <mergeCell ref="O244:O249"/>
    <mergeCell ref="C214:D214"/>
    <mergeCell ref="E224:F227"/>
    <mergeCell ref="M228:M243"/>
    <mergeCell ref="M223:M227"/>
    <mergeCell ref="O228:O243"/>
    <mergeCell ref="E204:F208"/>
    <mergeCell ref="M608:M615"/>
    <mergeCell ref="C570:D580"/>
    <mergeCell ref="E570:F589"/>
    <mergeCell ref="M569:M589"/>
    <mergeCell ref="G570:G579"/>
    <mergeCell ref="G591:G592"/>
    <mergeCell ref="E591:F594"/>
    <mergeCell ref="L590:L594"/>
    <mergeCell ref="M590:M594"/>
    <mergeCell ref="L599:L607"/>
    <mergeCell ref="A608:A615"/>
    <mergeCell ref="B608:B615"/>
    <mergeCell ref="E609:F615"/>
    <mergeCell ref="L608:L615"/>
    <mergeCell ref="B223:B227"/>
    <mergeCell ref="A244:A249"/>
    <mergeCell ref="L375:L379"/>
    <mergeCell ref="M502:M507"/>
    <mergeCell ref="G329:G332"/>
    <mergeCell ref="G359:G366"/>
    <mergeCell ref="L465:L473"/>
    <mergeCell ref="L449:L464"/>
    <mergeCell ref="M312:M316"/>
    <mergeCell ref="M422:M426"/>
    <mergeCell ref="E527:F529"/>
    <mergeCell ref="G466:G473"/>
    <mergeCell ref="E481:F486"/>
    <mergeCell ref="G450:G451"/>
    <mergeCell ref="G493:G500"/>
    <mergeCell ref="A218:A222"/>
    <mergeCell ref="B518:B525"/>
    <mergeCell ref="E313:F316"/>
    <mergeCell ref="E488:F491"/>
    <mergeCell ref="C262:D265"/>
    <mergeCell ref="E475:F479"/>
    <mergeCell ref="E446:F448"/>
    <mergeCell ref="A445:A448"/>
    <mergeCell ref="C446:D448"/>
    <mergeCell ref="A417:A421"/>
    <mergeCell ref="G418:G420"/>
    <mergeCell ref="P480:P486"/>
    <mergeCell ref="O537:O562"/>
    <mergeCell ref="P537:P562"/>
    <mergeCell ref="M492:M501"/>
    <mergeCell ref="M526:M529"/>
    <mergeCell ref="M530:M536"/>
    <mergeCell ref="N526:N529"/>
    <mergeCell ref="P518:P525"/>
    <mergeCell ref="N492:N501"/>
    <mergeCell ref="A391:A403"/>
    <mergeCell ref="B391:B403"/>
    <mergeCell ref="E392:F403"/>
    <mergeCell ref="A480:A486"/>
    <mergeCell ref="E437:F444"/>
    <mergeCell ref="C409:D415"/>
    <mergeCell ref="A427:A435"/>
    <mergeCell ref="A408:A416"/>
    <mergeCell ref="C450:D451"/>
    <mergeCell ref="C392:D401"/>
    <mergeCell ref="E450:F464"/>
    <mergeCell ref="L487:L491"/>
    <mergeCell ref="S537:S562"/>
    <mergeCell ref="P391:P403"/>
    <mergeCell ref="S391:S403"/>
    <mergeCell ref="M449:M464"/>
    <mergeCell ref="L474:L479"/>
    <mergeCell ref="L391:L403"/>
    <mergeCell ref="M391:M403"/>
    <mergeCell ref="P436:P444"/>
    <mergeCell ref="N5:N6"/>
    <mergeCell ref="L9:L10"/>
    <mergeCell ref="L271:L274"/>
    <mergeCell ref="M271:M274"/>
    <mergeCell ref="M254:M260"/>
    <mergeCell ref="L261:L265"/>
    <mergeCell ref="M266:M270"/>
    <mergeCell ref="M244:M249"/>
    <mergeCell ref="L244:L249"/>
    <mergeCell ref="M25:M36"/>
    <mergeCell ref="L254:L260"/>
    <mergeCell ref="P422:P426"/>
    <mergeCell ref="M427:M435"/>
    <mergeCell ref="L537:L562"/>
    <mergeCell ref="N449:N464"/>
    <mergeCell ref="M537:M562"/>
    <mergeCell ref="O449:O464"/>
    <mergeCell ref="L502:L507"/>
    <mergeCell ref="O492:O501"/>
    <mergeCell ref="P492:P501"/>
    <mergeCell ref="M92:M95"/>
    <mergeCell ref="M50:M65"/>
    <mergeCell ref="T259:T265"/>
    <mergeCell ref="T273:T275"/>
    <mergeCell ref="O261:O265"/>
    <mergeCell ref="S254:S260"/>
    <mergeCell ref="N86:N91"/>
    <mergeCell ref="P157:P160"/>
    <mergeCell ref="P110:P113"/>
    <mergeCell ref="P137:P147"/>
    <mergeCell ref="O487:O491"/>
    <mergeCell ref="B266:B270"/>
    <mergeCell ref="O445:O448"/>
    <mergeCell ref="A266:A270"/>
    <mergeCell ref="A487:A491"/>
    <mergeCell ref="A275:A279"/>
    <mergeCell ref="C272:D273"/>
    <mergeCell ref="G488:G489"/>
    <mergeCell ref="E267:F270"/>
    <mergeCell ref="G376:G379"/>
    <mergeCell ref="B254:B260"/>
    <mergeCell ref="N487:N491"/>
    <mergeCell ref="M465:M473"/>
    <mergeCell ref="E466:F473"/>
    <mergeCell ref="N312:N316"/>
    <mergeCell ref="B283:B296"/>
    <mergeCell ref="G272:G273"/>
    <mergeCell ref="C267:D269"/>
    <mergeCell ref="B487:B491"/>
    <mergeCell ref="M261:M265"/>
    <mergeCell ref="C284:D290"/>
    <mergeCell ref="C342:D353"/>
    <mergeCell ref="G318:G326"/>
    <mergeCell ref="A261:A265"/>
    <mergeCell ref="B261:B265"/>
    <mergeCell ref="A328:A340"/>
    <mergeCell ref="G298:G301"/>
    <mergeCell ref="B280:B282"/>
    <mergeCell ref="A280:A282"/>
    <mergeCell ref="E284:F296"/>
  </mergeCells>
  <printOptions/>
  <pageMargins left="0.4724409448818898" right="0.3937007874015748" top="0.7086614173228347" bottom="0.984251968503937" header="0.5118110236220472" footer="0.5118110236220472"/>
  <pageSetup horizontalDpi="600" verticalDpi="600" orientation="portrait" paperSize="8" scale="75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111"/>
  <sheetViews>
    <sheetView zoomScalePageLayoutView="0" workbookViewId="0" topLeftCell="C1">
      <selection activeCell="E108" sqref="E108:M108"/>
    </sheetView>
  </sheetViews>
  <sheetFormatPr defaultColWidth="9.140625" defaultRowHeight="12.75"/>
  <cols>
    <col min="2" max="2" width="8.7109375" style="0" customWidth="1"/>
    <col min="3" max="3" width="11.7109375" style="0" customWidth="1"/>
    <col min="4" max="4" width="10.8515625" style="0" customWidth="1"/>
    <col min="5" max="7" width="12.7109375" style="0" bestFit="1" customWidth="1"/>
    <col min="8" max="8" width="11.7109375" style="0" bestFit="1" customWidth="1"/>
    <col min="9" max="9" width="13.00390625" style="0" customWidth="1"/>
    <col min="10" max="10" width="13.140625" style="0" customWidth="1"/>
    <col min="11" max="11" width="12.57421875" style="0" customWidth="1"/>
    <col min="12" max="12" width="13.57421875" style="0" customWidth="1"/>
    <col min="13" max="13" width="12.421875" style="0" customWidth="1"/>
    <col min="14" max="14" width="11.7109375" style="0" customWidth="1"/>
    <col min="15" max="15" width="0" style="0" hidden="1" customWidth="1"/>
  </cols>
  <sheetData>
    <row r="2" spans="1:14" ht="33.75" customHeight="1">
      <c r="A2" s="902" t="str">
        <f>BG_čerpanie!A2</f>
        <v>Kumulatívny prehľad čerpania a zúčtovania FM EHP/NFM k 30.06.2011 - Blokové granty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</row>
    <row r="3" spans="10:14" ht="13.5" thickBot="1">
      <c r="J3" s="786" t="s">
        <v>87</v>
      </c>
      <c r="K3" s="786"/>
      <c r="L3" s="786"/>
      <c r="M3" s="786"/>
      <c r="N3" s="786"/>
    </row>
    <row r="4" spans="1:15" ht="16.5" customHeight="1" thickBot="1">
      <c r="A4" s="984" t="s">
        <v>273</v>
      </c>
      <c r="B4" s="984" t="s">
        <v>100</v>
      </c>
      <c r="C4" s="405" t="s">
        <v>145</v>
      </c>
      <c r="D4" s="619" t="s">
        <v>4</v>
      </c>
      <c r="E4" s="632" t="s">
        <v>89</v>
      </c>
      <c r="F4" s="1483"/>
      <c r="G4" s="1483"/>
      <c r="H4" s="1483"/>
      <c r="I4" s="633"/>
      <c r="J4" s="973" t="s">
        <v>274</v>
      </c>
      <c r="K4" s="973" t="s">
        <v>86</v>
      </c>
      <c r="L4" s="973" t="s">
        <v>275</v>
      </c>
      <c r="M4" s="973" t="s">
        <v>88</v>
      </c>
      <c r="N4" s="973" t="s">
        <v>198</v>
      </c>
      <c r="O4" s="1382" t="s">
        <v>265</v>
      </c>
    </row>
    <row r="5" spans="1:15" ht="78" customHeight="1" thickBot="1">
      <c r="A5" s="985"/>
      <c r="B5" s="985"/>
      <c r="C5" s="632" t="s">
        <v>197</v>
      </c>
      <c r="D5" s="633"/>
      <c r="E5" s="405" t="s">
        <v>256</v>
      </c>
      <c r="F5" s="406" t="s">
        <v>6</v>
      </c>
      <c r="G5" s="406" t="s">
        <v>257</v>
      </c>
      <c r="H5" s="407" t="s">
        <v>8</v>
      </c>
      <c r="I5" s="619" t="s">
        <v>90</v>
      </c>
      <c r="J5" s="974"/>
      <c r="K5" s="974"/>
      <c r="L5" s="974"/>
      <c r="M5" s="974"/>
      <c r="N5" s="974"/>
      <c r="O5" s="1383"/>
    </row>
    <row r="6" spans="1:15" ht="15" customHeight="1">
      <c r="A6" s="1134" t="s">
        <v>101</v>
      </c>
      <c r="B6" s="1134" t="s">
        <v>102</v>
      </c>
      <c r="C6" s="12">
        <v>2076135.6</v>
      </c>
      <c r="D6" s="13">
        <v>366376.88</v>
      </c>
      <c r="E6" s="12">
        <v>167844.16118967006</v>
      </c>
      <c r="F6" s="11">
        <v>167844.16118967006</v>
      </c>
      <c r="G6" s="11">
        <v>29619.557857000596</v>
      </c>
      <c r="H6" s="13">
        <v>29619.557857000596</v>
      </c>
      <c r="I6" s="790">
        <f>SUM(E6:H13)</f>
        <v>2442512.475417911</v>
      </c>
      <c r="J6" s="1036">
        <f>I6/C7*100</f>
        <v>99.99999981240263</v>
      </c>
      <c r="K6" s="1036">
        <f>834004.84+310797+198498+95028*2</f>
        <v>1533355.8399999999</v>
      </c>
      <c r="L6" s="1036">
        <f>K6/SUM(C6)*100</f>
        <v>73.85624715456927</v>
      </c>
      <c r="M6" s="1036">
        <f>823741.356104362+155398+155399+99249*2+95028*2</f>
        <v>1523092.356104362</v>
      </c>
      <c r="N6" s="1036">
        <f>M6/C6*100</f>
        <v>73.36189197393283</v>
      </c>
      <c r="O6" s="1035">
        <f>(C6-K6)/C6*100/9</f>
        <v>2.90486142727008</v>
      </c>
    </row>
    <row r="7" spans="1:15" ht="15" customHeight="1">
      <c r="A7" s="1134"/>
      <c r="B7" s="1134"/>
      <c r="C7" s="1119">
        <f>SUM(C6:D6)</f>
        <v>2442512.48</v>
      </c>
      <c r="D7" s="1120"/>
      <c r="E7" s="45">
        <v>6382.691362942309</v>
      </c>
      <c r="F7" s="22">
        <v>6382.691362942309</v>
      </c>
      <c r="G7" s="31">
        <v>1126.3572993427604</v>
      </c>
      <c r="H7" s="32">
        <v>1126.3572993427604</v>
      </c>
      <c r="I7" s="790"/>
      <c r="J7" s="1036"/>
      <c r="K7" s="1036"/>
      <c r="L7" s="1036"/>
      <c r="M7" s="1036"/>
      <c r="N7" s="1036"/>
      <c r="O7" s="1036"/>
    </row>
    <row r="8" spans="1:15" ht="15" customHeight="1">
      <c r="A8" s="1134"/>
      <c r="B8" s="1134"/>
      <c r="C8" s="1121"/>
      <c r="D8" s="1122"/>
      <c r="E8" s="505">
        <v>262919.39</v>
      </c>
      <c r="F8" s="33">
        <v>262919.39</v>
      </c>
      <c r="G8" s="33">
        <v>46397.54</v>
      </c>
      <c r="H8" s="35">
        <v>46397.54</v>
      </c>
      <c r="I8" s="790"/>
      <c r="J8" s="1036"/>
      <c r="K8" s="1036"/>
      <c r="L8" s="1036"/>
      <c r="M8" s="1036"/>
      <c r="N8" s="1036"/>
      <c r="O8" s="1036"/>
    </row>
    <row r="9" spans="1:15" ht="15" customHeight="1">
      <c r="A9" s="1134"/>
      <c r="B9" s="1134"/>
      <c r="C9" s="1121"/>
      <c r="D9" s="1122"/>
      <c r="E9" s="505">
        <v>119000</v>
      </c>
      <c r="F9" s="33">
        <v>119000</v>
      </c>
      <c r="G9" s="33">
        <v>21000</v>
      </c>
      <c r="H9" s="35">
        <v>21000</v>
      </c>
      <c r="I9" s="790"/>
      <c r="J9" s="1036"/>
      <c r="K9" s="1036"/>
      <c r="L9" s="1036"/>
      <c r="M9" s="1036"/>
      <c r="N9" s="1036"/>
      <c r="O9" s="1036"/>
    </row>
    <row r="10" spans="1:15" ht="15" customHeight="1">
      <c r="A10" s="1134"/>
      <c r="B10" s="1134"/>
      <c r="C10" s="1121"/>
      <c r="D10" s="1122"/>
      <c r="E10" s="505">
        <v>210181.93</v>
      </c>
      <c r="F10" s="33">
        <v>210181.93</v>
      </c>
      <c r="G10" s="33">
        <v>37090.93</v>
      </c>
      <c r="H10" s="35">
        <v>37090.93</v>
      </c>
      <c r="I10" s="790"/>
      <c r="J10" s="1036"/>
      <c r="K10" s="1036"/>
      <c r="L10" s="1036"/>
      <c r="M10" s="1036"/>
      <c r="N10" s="1036"/>
      <c r="O10" s="1036"/>
    </row>
    <row r="11" spans="1:15" ht="15" customHeight="1">
      <c r="A11" s="1134"/>
      <c r="B11" s="1134"/>
      <c r="C11" s="1121"/>
      <c r="D11" s="1122"/>
      <c r="E11" s="505">
        <v>117923.42</v>
      </c>
      <c r="F11" s="33">
        <v>117923.42</v>
      </c>
      <c r="G11" s="33">
        <v>20810.03</v>
      </c>
      <c r="H11" s="35">
        <v>20810.01</v>
      </c>
      <c r="I11" s="790"/>
      <c r="J11" s="1036"/>
      <c r="K11" s="1036"/>
      <c r="L11" s="1036"/>
      <c r="M11" s="1036"/>
      <c r="N11" s="1036"/>
      <c r="O11" s="1036"/>
    </row>
    <row r="12" spans="1:15" ht="15" customHeight="1">
      <c r="A12" s="1134"/>
      <c r="B12" s="1134"/>
      <c r="C12" s="1121"/>
      <c r="D12" s="1122"/>
      <c r="E12" s="505">
        <v>70074.76</v>
      </c>
      <c r="F12" s="33">
        <v>70074.76</v>
      </c>
      <c r="G12" s="33">
        <v>12366.15</v>
      </c>
      <c r="H12" s="35">
        <v>12366.14</v>
      </c>
      <c r="I12" s="790"/>
      <c r="J12" s="1036"/>
      <c r="K12" s="1036"/>
      <c r="L12" s="1036"/>
      <c r="M12" s="1036"/>
      <c r="N12" s="1036"/>
      <c r="O12" s="1036"/>
    </row>
    <row r="13" spans="1:15" ht="15" customHeight="1" thickBot="1">
      <c r="A13" s="1090"/>
      <c r="B13" s="1090"/>
      <c r="C13" s="905"/>
      <c r="D13" s="906"/>
      <c r="E13" s="45">
        <v>83741.45000000001</v>
      </c>
      <c r="F13" s="31">
        <v>83741.45000000001</v>
      </c>
      <c r="G13" s="31">
        <v>14777.87</v>
      </c>
      <c r="H13" s="32">
        <v>14777.900000000001</v>
      </c>
      <c r="I13" s="766"/>
      <c r="J13" s="1027"/>
      <c r="K13" s="1027"/>
      <c r="L13" s="1027"/>
      <c r="M13" s="1027"/>
      <c r="N13" s="1027"/>
      <c r="O13" s="1027"/>
    </row>
    <row r="14" spans="1:15" ht="23.25" customHeight="1">
      <c r="A14" s="1133" t="s">
        <v>108</v>
      </c>
      <c r="B14" s="1133" t="s">
        <v>109</v>
      </c>
      <c r="C14" s="61">
        <f>10149600/30.126</f>
        <v>336904.9990041824</v>
      </c>
      <c r="D14" s="80">
        <f>1791099.91/30.126</f>
        <v>59453.62510788023</v>
      </c>
      <c r="E14" s="25">
        <v>139953.54</v>
      </c>
      <c r="F14" s="19">
        <v>139953.54</v>
      </c>
      <c r="G14" s="19">
        <v>15787.05</v>
      </c>
      <c r="H14" s="20">
        <v>15787.05</v>
      </c>
      <c r="I14" s="789">
        <f>SUM(E14:H16)</f>
        <v>391044.84</v>
      </c>
      <c r="J14" s="1035">
        <f>I14/C15*100</f>
        <v>98.65934944042993</v>
      </c>
      <c r="K14" s="1035">
        <f>SUM('[2]PIR'!$E$53:$F$55)/30.126</f>
        <v>263002.42576914857</v>
      </c>
      <c r="L14" s="1035">
        <f>K14/C14*100</f>
        <v>78.06426931821323</v>
      </c>
      <c r="M14" s="1035">
        <v>293725.8</v>
      </c>
      <c r="N14" s="1035">
        <f>M14/C14*100</f>
        <v>87.18356832584536</v>
      </c>
      <c r="O14" s="1035">
        <f>(C14-K14)/C14*100/9</f>
        <v>2.437303409087418</v>
      </c>
    </row>
    <row r="15" spans="1:15" ht="22.5" customHeight="1">
      <c r="A15" s="1134"/>
      <c r="B15" s="1134"/>
      <c r="C15" s="1129">
        <f>C14+D14</f>
        <v>396358.6241120626</v>
      </c>
      <c r="D15" s="797"/>
      <c r="E15" s="49">
        <v>579.18</v>
      </c>
      <c r="F15" s="22">
        <v>579.18</v>
      </c>
      <c r="G15" s="22">
        <v>102.21</v>
      </c>
      <c r="H15" s="23">
        <v>102.21</v>
      </c>
      <c r="I15" s="790"/>
      <c r="J15" s="1036"/>
      <c r="K15" s="1036"/>
      <c r="L15" s="1036"/>
      <c r="M15" s="1036"/>
      <c r="N15" s="1036"/>
      <c r="O15" s="1036"/>
    </row>
    <row r="16" spans="1:15" ht="27" customHeight="1" thickBot="1">
      <c r="A16" s="1128"/>
      <c r="B16" s="1128"/>
      <c r="C16" s="798"/>
      <c r="D16" s="799"/>
      <c r="E16" s="26">
        <v>25661.34</v>
      </c>
      <c r="F16" s="27">
        <v>25661.34</v>
      </c>
      <c r="G16" s="27">
        <v>13439.1</v>
      </c>
      <c r="H16" s="28">
        <v>13439.1</v>
      </c>
      <c r="I16" s="766"/>
      <c r="J16" s="1027"/>
      <c r="K16" s="1027"/>
      <c r="L16" s="1027"/>
      <c r="M16" s="1027"/>
      <c r="N16" s="1027"/>
      <c r="O16" s="1027"/>
    </row>
    <row r="17" spans="1:15" ht="15" customHeight="1">
      <c r="A17" s="1133" t="s">
        <v>277</v>
      </c>
      <c r="B17" s="1133" t="s">
        <v>278</v>
      </c>
      <c r="C17" s="25">
        <v>921278.45</v>
      </c>
      <c r="D17" s="20">
        <v>162578.55</v>
      </c>
      <c r="E17" s="25">
        <v>367241.71</v>
      </c>
      <c r="F17" s="19">
        <v>0</v>
      </c>
      <c r="G17" s="19">
        <v>64807.36075151032</v>
      </c>
      <c r="H17" s="20">
        <v>0</v>
      </c>
      <c r="I17" s="789">
        <f>SUM(E17:H20)</f>
        <v>1021124.9807515102</v>
      </c>
      <c r="J17" s="1035">
        <f>I17/C18*100</f>
        <v>94.2121498270999</v>
      </c>
      <c r="K17" s="1035">
        <f>325414.14+255811+196699</f>
        <v>777924.14</v>
      </c>
      <c r="L17" s="1035">
        <f>K17/SUM(C17)*100</f>
        <v>84.43963277334883</v>
      </c>
      <c r="M17" s="1035">
        <f>325304+255811+196699</f>
        <v>777814</v>
      </c>
      <c r="N17" s="1035">
        <f>M17/C17*100</f>
        <v>84.42767764729545</v>
      </c>
      <c r="O17" s="1035">
        <f>(C17-K17)/C17*100/9</f>
        <v>1.7289296918501307</v>
      </c>
    </row>
    <row r="18" spans="1:15" ht="15" customHeight="1" thickBot="1">
      <c r="A18" s="1134"/>
      <c r="B18" s="1134"/>
      <c r="C18" s="1119">
        <v>1083857</v>
      </c>
      <c r="D18" s="1120"/>
      <c r="E18" s="34">
        <v>253854</v>
      </c>
      <c r="F18" s="33">
        <v>0</v>
      </c>
      <c r="G18" s="33">
        <v>44797.77</v>
      </c>
      <c r="H18" s="35">
        <v>0</v>
      </c>
      <c r="I18" s="790"/>
      <c r="J18" s="1036"/>
      <c r="K18" s="1036"/>
      <c r="L18" s="1036"/>
      <c r="M18" s="1036"/>
      <c r="N18" s="1036"/>
      <c r="O18" s="1027"/>
    </row>
    <row r="19" spans="1:15" ht="15" customHeight="1">
      <c r="A19" s="1134"/>
      <c r="B19" s="1134"/>
      <c r="C19" s="1121"/>
      <c r="D19" s="1122"/>
      <c r="E19" s="34">
        <v>12634.71</v>
      </c>
      <c r="F19" s="33">
        <v>0</v>
      </c>
      <c r="G19" s="33">
        <v>2229.65</v>
      </c>
      <c r="H19" s="35">
        <v>0</v>
      </c>
      <c r="I19" s="790"/>
      <c r="J19" s="1036"/>
      <c r="K19" s="1036"/>
      <c r="L19" s="1036"/>
      <c r="M19" s="1036"/>
      <c r="N19" s="1036"/>
      <c r="O19" s="84"/>
    </row>
    <row r="20" spans="1:15" ht="15" customHeight="1" thickBot="1">
      <c r="A20" s="1090"/>
      <c r="B20" s="1090"/>
      <c r="C20" s="905"/>
      <c r="D20" s="906"/>
      <c r="E20" s="14">
        <v>234225.81</v>
      </c>
      <c r="F20" s="15">
        <v>0</v>
      </c>
      <c r="G20" s="15">
        <v>41333.97</v>
      </c>
      <c r="H20" s="16">
        <v>0</v>
      </c>
      <c r="I20" s="766"/>
      <c r="J20" s="1027"/>
      <c r="K20" s="1027"/>
      <c r="L20" s="1027"/>
      <c r="M20" s="1027"/>
      <c r="N20" s="1027"/>
      <c r="O20" s="84"/>
    </row>
    <row r="21" spans="1:15" ht="15.75" customHeight="1">
      <c r="A21" s="1133" t="s">
        <v>279</v>
      </c>
      <c r="B21" s="1133" t="s">
        <v>280</v>
      </c>
      <c r="C21" s="25">
        <f>59014670.31/30.126</f>
        <v>1958928.1786496714</v>
      </c>
      <c r="D21" s="20">
        <f>10414353.58/30.126</f>
        <v>345693.20786032</v>
      </c>
      <c r="E21" s="25">
        <v>0</v>
      </c>
      <c r="F21" s="19">
        <f>232913.45+78357.13</f>
        <v>311270.58</v>
      </c>
      <c r="G21" s="19">
        <v>0</v>
      </c>
      <c r="H21" s="20">
        <f>41102.38+13827.73</f>
        <v>54930.11</v>
      </c>
      <c r="I21" s="789">
        <f>SUM(E21:H28)</f>
        <v>2304621.39</v>
      </c>
      <c r="J21" s="1035">
        <f>I21/C22*100</f>
        <v>100.00000015143524</v>
      </c>
      <c r="K21" s="1035">
        <f>930555.87+360809+420550</f>
        <v>1711914.87</v>
      </c>
      <c r="L21" s="1035">
        <f>K21/C21*100</f>
        <v>87.39038463268508</v>
      </c>
      <c r="M21" s="1160">
        <f>21060+130579+189334+180037+136181+273122+360809+420550</f>
        <v>1711672</v>
      </c>
      <c r="N21" s="1035">
        <f>M21/C21*100</f>
        <v>87.37798652627939</v>
      </c>
      <c r="O21" s="1035">
        <f>(C21-K21)/C21*100/9</f>
        <v>1.4010683741461023</v>
      </c>
    </row>
    <row r="22" spans="1:15" ht="15.75" customHeight="1">
      <c r="A22" s="1134"/>
      <c r="B22" s="1134"/>
      <c r="C22" s="1119">
        <f>C21+D21</f>
        <v>2304621.3865099913</v>
      </c>
      <c r="D22" s="1120"/>
      <c r="E22" s="49">
        <v>0</v>
      </c>
      <c r="F22" s="22">
        <v>21302.87</v>
      </c>
      <c r="G22" s="22">
        <v>0</v>
      </c>
      <c r="H22" s="23">
        <v>3759.33</v>
      </c>
      <c r="I22" s="790"/>
      <c r="J22" s="1036"/>
      <c r="K22" s="1036"/>
      <c r="L22" s="1036"/>
      <c r="M22" s="1161"/>
      <c r="N22" s="1036"/>
      <c r="O22" s="1036"/>
    </row>
    <row r="23" spans="1:15" ht="15.75" customHeight="1">
      <c r="A23" s="1134"/>
      <c r="B23" s="1134"/>
      <c r="C23" s="1121"/>
      <c r="D23" s="1122"/>
      <c r="E23" s="34">
        <v>0</v>
      </c>
      <c r="F23" s="33">
        <v>602879.17</v>
      </c>
      <c r="G23" s="33">
        <v>0</v>
      </c>
      <c r="H23" s="35">
        <v>106390.45</v>
      </c>
      <c r="I23" s="790"/>
      <c r="J23" s="1036"/>
      <c r="K23" s="1036"/>
      <c r="L23" s="1036"/>
      <c r="M23" s="1161"/>
      <c r="N23" s="1036"/>
      <c r="O23" s="1036"/>
    </row>
    <row r="24" spans="1:15" ht="15.75" customHeight="1">
      <c r="A24" s="1134"/>
      <c r="B24" s="1134"/>
      <c r="C24" s="1121"/>
      <c r="D24" s="1122"/>
      <c r="E24" s="30">
        <v>0</v>
      </c>
      <c r="F24" s="31">
        <v>176076.19</v>
      </c>
      <c r="G24" s="31">
        <v>0</v>
      </c>
      <c r="H24" s="32">
        <v>31072.27</v>
      </c>
      <c r="I24" s="790"/>
      <c r="J24" s="1036"/>
      <c r="K24" s="1036"/>
      <c r="L24" s="1036"/>
      <c r="M24" s="1161"/>
      <c r="N24" s="1036"/>
      <c r="O24" s="1036"/>
    </row>
    <row r="25" spans="1:15" ht="15.75" customHeight="1">
      <c r="A25" s="1134"/>
      <c r="B25" s="1134"/>
      <c r="C25" s="1121"/>
      <c r="D25" s="1122"/>
      <c r="E25" s="34">
        <v>0</v>
      </c>
      <c r="F25" s="33">
        <v>193294.52000000002</v>
      </c>
      <c r="G25" s="33">
        <v>0</v>
      </c>
      <c r="H25" s="35">
        <v>34110.8</v>
      </c>
      <c r="I25" s="790"/>
      <c r="J25" s="1036"/>
      <c r="K25" s="1036"/>
      <c r="L25" s="1036"/>
      <c r="M25" s="1161"/>
      <c r="N25" s="1036"/>
      <c r="O25" s="1036"/>
    </row>
    <row r="26" spans="1:15" ht="15.75" customHeight="1" thickBot="1">
      <c r="A26" s="1134"/>
      <c r="B26" s="1134"/>
      <c r="C26" s="1121"/>
      <c r="D26" s="1122"/>
      <c r="E26" s="34">
        <v>0</v>
      </c>
      <c r="F26" s="33">
        <v>136180.57</v>
      </c>
      <c r="G26" s="33">
        <v>0</v>
      </c>
      <c r="H26" s="35">
        <v>24031.870000000003</v>
      </c>
      <c r="I26" s="790"/>
      <c r="J26" s="1036"/>
      <c r="K26" s="1036"/>
      <c r="L26" s="1036"/>
      <c r="M26" s="1161"/>
      <c r="N26" s="1036"/>
      <c r="O26" s="1027"/>
    </row>
    <row r="27" spans="1:15" ht="15.75" customHeight="1">
      <c r="A27" s="1134"/>
      <c r="B27" s="1134"/>
      <c r="C27" s="1121"/>
      <c r="D27" s="1122"/>
      <c r="E27" s="34">
        <v>0</v>
      </c>
      <c r="F27" s="33">
        <v>188376.52</v>
      </c>
      <c r="G27" s="33">
        <v>0</v>
      </c>
      <c r="H27" s="35">
        <v>33242.92</v>
      </c>
      <c r="I27" s="790"/>
      <c r="J27" s="1036"/>
      <c r="K27" s="1036"/>
      <c r="L27" s="1036"/>
      <c r="M27" s="1161"/>
      <c r="N27" s="1036"/>
      <c r="O27" s="84"/>
    </row>
    <row r="28" spans="1:15" ht="15.75" customHeight="1" thickBot="1">
      <c r="A28" s="1090"/>
      <c r="B28" s="1090"/>
      <c r="C28" s="905"/>
      <c r="D28" s="906"/>
      <c r="E28" s="14">
        <v>0</v>
      </c>
      <c r="F28" s="15">
        <v>329547.76</v>
      </c>
      <c r="G28" s="15">
        <v>0</v>
      </c>
      <c r="H28" s="16">
        <f>BG_čerpanie!H52</f>
        <v>58155.46</v>
      </c>
      <c r="I28" s="766"/>
      <c r="J28" s="1027"/>
      <c r="K28" s="1027"/>
      <c r="L28" s="1027"/>
      <c r="M28" s="1126"/>
      <c r="N28" s="1027"/>
      <c r="O28" s="84"/>
    </row>
    <row r="29" spans="1:15" ht="15" customHeight="1">
      <c r="A29" s="1133" t="s">
        <v>276</v>
      </c>
      <c r="B29" s="1133" t="s">
        <v>105</v>
      </c>
      <c r="C29" s="25">
        <f>1686964.84</f>
        <v>1686964.84</v>
      </c>
      <c r="D29" s="20">
        <v>297699.7</v>
      </c>
      <c r="E29" s="25">
        <v>335756.49</v>
      </c>
      <c r="F29" s="19">
        <v>335756.49</v>
      </c>
      <c r="G29" s="19">
        <v>59251.15</v>
      </c>
      <c r="H29" s="20">
        <v>59251.15</v>
      </c>
      <c r="I29" s="789">
        <f>SUM(E29:H34)</f>
        <v>1984664.54</v>
      </c>
      <c r="J29" s="1035">
        <f>I29/C30*100</f>
        <v>100</v>
      </c>
      <c r="K29" s="1035">
        <f>1326395.28+88235+86407</f>
        <v>1501037.28</v>
      </c>
      <c r="L29" s="1035">
        <f>K29/C29*100</f>
        <v>88.97857527368501</v>
      </c>
      <c r="M29" s="1160">
        <v>1500000</v>
      </c>
      <c r="N29" s="1035">
        <f>M29/C29*100</f>
        <v>88.91708732945494</v>
      </c>
      <c r="O29" s="1035">
        <f>(C29-K29)/C29*100/9</f>
        <v>1.2246027473683319</v>
      </c>
    </row>
    <row r="30" spans="1:15" ht="15" customHeight="1">
      <c r="A30" s="1134"/>
      <c r="B30" s="1134"/>
      <c r="C30" s="1119">
        <f>C29+D29</f>
        <v>1984664.54</v>
      </c>
      <c r="D30" s="1120"/>
      <c r="E30" s="34">
        <v>4687.64</v>
      </c>
      <c r="F30" s="33">
        <v>4687.64</v>
      </c>
      <c r="G30" s="33">
        <v>827.23</v>
      </c>
      <c r="H30" s="35">
        <v>827.23</v>
      </c>
      <c r="I30" s="790"/>
      <c r="J30" s="1036"/>
      <c r="K30" s="1036"/>
      <c r="L30" s="1036"/>
      <c r="M30" s="1161"/>
      <c r="N30" s="1036"/>
      <c r="O30" s="1036"/>
    </row>
    <row r="31" spans="1:15" ht="15" customHeight="1">
      <c r="A31" s="1134"/>
      <c r="B31" s="1134"/>
      <c r="C31" s="1121"/>
      <c r="D31" s="1122"/>
      <c r="E31" s="34">
        <v>85000</v>
      </c>
      <c r="F31" s="33">
        <v>85000</v>
      </c>
      <c r="G31" s="33">
        <v>15000</v>
      </c>
      <c r="H31" s="35">
        <v>15000</v>
      </c>
      <c r="I31" s="790"/>
      <c r="J31" s="1036"/>
      <c r="K31" s="1036"/>
      <c r="L31" s="1036"/>
      <c r="M31" s="1161"/>
      <c r="N31" s="1036"/>
      <c r="O31" s="1036"/>
    </row>
    <row r="32" spans="1:15" ht="15" customHeight="1">
      <c r="A32" s="1134"/>
      <c r="B32" s="1134"/>
      <c r="C32" s="1121"/>
      <c r="D32" s="1122"/>
      <c r="E32" s="34">
        <v>19360.84</v>
      </c>
      <c r="F32" s="33">
        <v>19360.84</v>
      </c>
      <c r="G32" s="33">
        <v>3416.61</v>
      </c>
      <c r="H32" s="35">
        <v>3416.62</v>
      </c>
      <c r="I32" s="790"/>
      <c r="J32" s="1036"/>
      <c r="K32" s="1036"/>
      <c r="L32" s="1036"/>
      <c r="M32" s="1161"/>
      <c r="N32" s="1036"/>
      <c r="O32" s="1036"/>
    </row>
    <row r="33" spans="1:15" ht="15" customHeight="1" thickBot="1">
      <c r="A33" s="1134"/>
      <c r="B33" s="1134"/>
      <c r="C33" s="1121"/>
      <c r="D33" s="1122"/>
      <c r="E33" s="34">
        <v>238565.67</v>
      </c>
      <c r="F33" s="33">
        <v>238565.67</v>
      </c>
      <c r="G33" s="33">
        <v>42099.83</v>
      </c>
      <c r="H33" s="35">
        <v>42099.83</v>
      </c>
      <c r="I33" s="790"/>
      <c r="J33" s="1036"/>
      <c r="K33" s="1036"/>
      <c r="L33" s="1036"/>
      <c r="M33" s="1161"/>
      <c r="N33" s="1036"/>
      <c r="O33" s="1027"/>
    </row>
    <row r="34" spans="1:15" ht="15" customHeight="1" thickBot="1">
      <c r="A34" s="1482"/>
      <c r="B34" s="1482"/>
      <c r="C34" s="1390"/>
      <c r="D34" s="1391"/>
      <c r="E34" s="30">
        <v>160111.78</v>
      </c>
      <c r="F34" s="31">
        <v>160111.78</v>
      </c>
      <c r="G34" s="31">
        <v>28255.03</v>
      </c>
      <c r="H34" s="29">
        <v>28255.02</v>
      </c>
      <c r="I34" s="925"/>
      <c r="J34" s="925"/>
      <c r="K34" s="925"/>
      <c r="L34" s="925"/>
      <c r="M34" s="1049"/>
      <c r="N34" s="1157"/>
      <c r="O34" s="84"/>
    </row>
    <row r="35" spans="1:15" ht="15.75" customHeight="1">
      <c r="A35" s="1133" t="s">
        <v>106</v>
      </c>
      <c r="B35" s="1133" t="s">
        <v>107</v>
      </c>
      <c r="C35" s="25">
        <v>2239925.56</v>
      </c>
      <c r="D35" s="20">
        <v>395280.98</v>
      </c>
      <c r="E35" s="25">
        <v>313850.49</v>
      </c>
      <c r="F35" s="19">
        <v>313850.49</v>
      </c>
      <c r="G35" s="19">
        <v>55385.38</v>
      </c>
      <c r="H35" s="20">
        <v>55385.38</v>
      </c>
      <c r="I35" s="789">
        <f>SUM(E35:H44)</f>
        <v>2610096.669999999</v>
      </c>
      <c r="J35" s="1035">
        <f>I35/C36*100</f>
        <v>99.04713844555042</v>
      </c>
      <c r="K35" s="1035">
        <f>1751853.86+120866*2</f>
        <v>1993585.86</v>
      </c>
      <c r="L35" s="1035">
        <f>K35/C35*100</f>
        <v>89.00232648802847</v>
      </c>
      <c r="M35" s="1035">
        <f>1747088.10595499+120866*2</f>
        <v>1988820.10595499</v>
      </c>
      <c r="N35" s="1035">
        <f>M35/C35*100</f>
        <v>88.7895625404172</v>
      </c>
      <c r="O35" s="1035">
        <f>(C35-K35)/C35*100/9</f>
        <v>1.2219637235523924</v>
      </c>
    </row>
    <row r="36" spans="1:15" ht="15.75" customHeight="1">
      <c r="A36" s="1134"/>
      <c r="B36" s="1134"/>
      <c r="C36" s="1119">
        <f>C35+D35</f>
        <v>2635206.54</v>
      </c>
      <c r="D36" s="1120"/>
      <c r="E36" s="34">
        <v>7219.34</v>
      </c>
      <c r="F36" s="33">
        <v>7219.34</v>
      </c>
      <c r="G36" s="33">
        <v>1274.01</v>
      </c>
      <c r="H36" s="35">
        <v>1274.01</v>
      </c>
      <c r="I36" s="790"/>
      <c r="J36" s="1036"/>
      <c r="K36" s="1036"/>
      <c r="L36" s="1036"/>
      <c r="M36" s="1036"/>
      <c r="N36" s="1036"/>
      <c r="O36" s="1036"/>
    </row>
    <row r="37" spans="1:15" ht="15.75" customHeight="1">
      <c r="A37" s="1134"/>
      <c r="B37" s="1134"/>
      <c r="C37" s="1121"/>
      <c r="D37" s="1122"/>
      <c r="E37" s="34">
        <v>184541.37</v>
      </c>
      <c r="F37" s="33">
        <v>184541.37</v>
      </c>
      <c r="G37" s="33">
        <v>32566.13</v>
      </c>
      <c r="H37" s="35">
        <v>32566.13</v>
      </c>
      <c r="I37" s="790"/>
      <c r="J37" s="1036"/>
      <c r="K37" s="1036"/>
      <c r="L37" s="1036"/>
      <c r="M37" s="1036"/>
      <c r="N37" s="1036"/>
      <c r="O37" s="1036"/>
    </row>
    <row r="38" spans="1:15" ht="15.75" customHeight="1">
      <c r="A38" s="1134"/>
      <c r="B38" s="1134"/>
      <c r="C38" s="1121"/>
      <c r="D38" s="1122"/>
      <c r="E38" s="30">
        <v>82897.97</v>
      </c>
      <c r="F38" s="31">
        <v>82897.97</v>
      </c>
      <c r="G38" s="31">
        <v>14629.06</v>
      </c>
      <c r="H38" s="32">
        <v>14629.06</v>
      </c>
      <c r="I38" s="790"/>
      <c r="J38" s="1036"/>
      <c r="K38" s="1036"/>
      <c r="L38" s="1036"/>
      <c r="M38" s="1036"/>
      <c r="N38" s="1036"/>
      <c r="O38" s="1036"/>
    </row>
    <row r="39" spans="1:15" ht="15.75" customHeight="1">
      <c r="A39" s="1134"/>
      <c r="B39" s="1134"/>
      <c r="C39" s="1121"/>
      <c r="D39" s="1122"/>
      <c r="E39" s="34">
        <v>218169.59</v>
      </c>
      <c r="F39" s="33">
        <v>218169.59</v>
      </c>
      <c r="G39" s="33">
        <v>38500.54</v>
      </c>
      <c r="H39" s="35">
        <v>38500.520000000004</v>
      </c>
      <c r="I39" s="790"/>
      <c r="J39" s="1036"/>
      <c r="K39" s="1036"/>
      <c r="L39" s="1036"/>
      <c r="M39" s="1036"/>
      <c r="N39" s="1036"/>
      <c r="O39" s="1036"/>
    </row>
    <row r="40" spans="1:15" ht="15.75" customHeight="1">
      <c r="A40" s="1134"/>
      <c r="B40" s="1134"/>
      <c r="C40" s="1121"/>
      <c r="D40" s="1122"/>
      <c r="E40" s="34">
        <v>116047.43</v>
      </c>
      <c r="F40" s="33">
        <v>116047.43</v>
      </c>
      <c r="G40" s="33">
        <v>20478.98</v>
      </c>
      <c r="H40" s="35">
        <v>20478.960000000003</v>
      </c>
      <c r="I40" s="790"/>
      <c r="J40" s="1036"/>
      <c r="K40" s="1036"/>
      <c r="L40" s="1036"/>
      <c r="M40" s="1036"/>
      <c r="N40" s="1036"/>
      <c r="O40" s="1036"/>
    </row>
    <row r="41" spans="1:15" ht="15.75" customHeight="1" thickBot="1">
      <c r="A41" s="1134"/>
      <c r="B41" s="1134"/>
      <c r="C41" s="1121"/>
      <c r="D41" s="1122"/>
      <c r="E41" s="34">
        <v>51004.64</v>
      </c>
      <c r="F41" s="33">
        <v>51004.64</v>
      </c>
      <c r="G41" s="33">
        <v>9000.83</v>
      </c>
      <c r="H41" s="35">
        <v>9000.82</v>
      </c>
      <c r="I41" s="790"/>
      <c r="J41" s="1036"/>
      <c r="K41" s="1036"/>
      <c r="L41" s="1036"/>
      <c r="M41" s="1036"/>
      <c r="N41" s="1036"/>
      <c r="O41" s="1027"/>
    </row>
    <row r="42" spans="1:15" ht="15.75" customHeight="1">
      <c r="A42" s="1134"/>
      <c r="B42" s="1134"/>
      <c r="C42" s="1121"/>
      <c r="D42" s="1122"/>
      <c r="E42" s="34">
        <v>29680.13</v>
      </c>
      <c r="F42" s="33">
        <v>29680.13</v>
      </c>
      <c r="G42" s="33">
        <v>5237.69</v>
      </c>
      <c r="H42" s="35">
        <v>5237.67</v>
      </c>
      <c r="I42" s="790"/>
      <c r="J42" s="1036"/>
      <c r="K42" s="1036"/>
      <c r="L42" s="1036"/>
      <c r="M42" s="1036"/>
      <c r="N42" s="1036"/>
      <c r="O42" s="84"/>
    </row>
    <row r="43" spans="1:15" ht="15.75" customHeight="1">
      <c r="A43" s="1067"/>
      <c r="B43" s="1067"/>
      <c r="C43" s="1144"/>
      <c r="D43" s="1145"/>
      <c r="E43" s="12">
        <v>105463.32</v>
      </c>
      <c r="F43" s="11">
        <v>105463.32</v>
      </c>
      <c r="G43" s="11">
        <v>18611.17</v>
      </c>
      <c r="H43" s="13">
        <v>18611.17</v>
      </c>
      <c r="I43" s="1127"/>
      <c r="J43" s="1127"/>
      <c r="K43" s="1127"/>
      <c r="L43" s="1127"/>
      <c r="M43" s="1127"/>
      <c r="N43" s="1127"/>
      <c r="O43" s="84"/>
    </row>
    <row r="44" spans="1:15" ht="15.75" customHeight="1" thickBot="1">
      <c r="A44" s="1128"/>
      <c r="B44" s="1128"/>
      <c r="C44" s="1146"/>
      <c r="D44" s="1147"/>
      <c r="E44" s="12">
        <v>416.76</v>
      </c>
      <c r="F44" s="11">
        <v>416.76</v>
      </c>
      <c r="G44" s="11">
        <v>73.54</v>
      </c>
      <c r="H44" s="13">
        <v>73.54</v>
      </c>
      <c r="I44" s="1157"/>
      <c r="J44" s="1157"/>
      <c r="K44" s="1157"/>
      <c r="L44" s="1157"/>
      <c r="M44" s="1157"/>
      <c r="N44" s="1157"/>
      <c r="O44" s="84"/>
    </row>
    <row r="45" spans="1:15" ht="16.5" customHeight="1">
      <c r="A45" s="1133" t="s">
        <v>103</v>
      </c>
      <c r="B45" s="1133" t="s">
        <v>104</v>
      </c>
      <c r="C45" s="61">
        <v>1686964.9</v>
      </c>
      <c r="D45" s="80">
        <v>297699.72</v>
      </c>
      <c r="E45" s="25">
        <v>308635.57226316136</v>
      </c>
      <c r="F45" s="19">
        <v>308635.57226316136</v>
      </c>
      <c r="G45" s="19">
        <v>54465.10090951337</v>
      </c>
      <c r="H45" s="20">
        <v>54465.10090951337</v>
      </c>
      <c r="I45" s="789">
        <f>SUM(E45:H52)</f>
        <v>1984664.6263453492</v>
      </c>
      <c r="J45" s="1035">
        <f>I45/C46*100</f>
        <v>100.00000031971898</v>
      </c>
      <c r="K45" s="1035">
        <f>1280554.35+78991+4411+4412+66791+66790</f>
        <v>1501949.35</v>
      </c>
      <c r="L45" s="1035">
        <f>K45/C45*100</f>
        <v>89.03263784563627</v>
      </c>
      <c r="M45" s="1035">
        <f>1356920.62+66790+66791</f>
        <v>1490501.62</v>
      </c>
      <c r="N45" s="1035">
        <f>M45/C45*100</f>
        <v>88.35403866434922</v>
      </c>
      <c r="O45" s="1035">
        <f>(C45-K45)/C45*100/9</f>
        <v>1.2185957949293025</v>
      </c>
    </row>
    <row r="46" spans="1:15" ht="16.5" customHeight="1">
      <c r="A46" s="1134"/>
      <c r="B46" s="1134"/>
      <c r="C46" s="1129">
        <f>C45+D45</f>
        <v>1984664.6199999999</v>
      </c>
      <c r="D46" s="1130"/>
      <c r="E46" s="34">
        <v>726.52</v>
      </c>
      <c r="F46" s="33">
        <v>726.52</v>
      </c>
      <c r="G46" s="33">
        <v>128.21</v>
      </c>
      <c r="H46" s="35">
        <v>128.21</v>
      </c>
      <c r="I46" s="790"/>
      <c r="J46" s="1036"/>
      <c r="K46" s="1036"/>
      <c r="L46" s="1036"/>
      <c r="M46" s="1036"/>
      <c r="N46" s="1036"/>
      <c r="O46" s="1036"/>
    </row>
    <row r="47" spans="1:15" ht="16.5" customHeight="1">
      <c r="A47" s="1134"/>
      <c r="B47" s="1134"/>
      <c r="C47" s="1131"/>
      <c r="D47" s="1118"/>
      <c r="E47" s="34">
        <v>32715.1</v>
      </c>
      <c r="F47" s="33">
        <v>32715.1</v>
      </c>
      <c r="G47" s="33">
        <v>5773.25</v>
      </c>
      <c r="H47" s="35">
        <v>5773.25</v>
      </c>
      <c r="I47" s="790"/>
      <c r="J47" s="1036"/>
      <c r="K47" s="1036"/>
      <c r="L47" s="1036"/>
      <c r="M47" s="1036"/>
      <c r="N47" s="1036"/>
      <c r="O47" s="1036"/>
    </row>
    <row r="48" spans="1:15" ht="16.5" customHeight="1">
      <c r="A48" s="1134"/>
      <c r="B48" s="1134"/>
      <c r="C48" s="1131"/>
      <c r="D48" s="1118"/>
      <c r="E48" s="34">
        <v>88249.73999999999</v>
      </c>
      <c r="F48" s="33">
        <v>88249.73999999999</v>
      </c>
      <c r="G48" s="33">
        <v>15573.48</v>
      </c>
      <c r="H48" s="35">
        <v>15573.48</v>
      </c>
      <c r="I48" s="790"/>
      <c r="J48" s="1036"/>
      <c r="K48" s="1036"/>
      <c r="L48" s="1036"/>
      <c r="M48" s="1036"/>
      <c r="N48" s="1036"/>
      <c r="O48" s="1036"/>
    </row>
    <row r="49" spans="1:15" ht="16.5" customHeight="1">
      <c r="A49" s="1134"/>
      <c r="B49" s="1134"/>
      <c r="C49" s="1131"/>
      <c r="D49" s="1118"/>
      <c r="E49" s="34">
        <v>112937.91</v>
      </c>
      <c r="F49" s="33">
        <v>112937.91</v>
      </c>
      <c r="G49" s="33">
        <v>19930.22</v>
      </c>
      <c r="H49" s="35">
        <v>19930.22</v>
      </c>
      <c r="I49" s="790"/>
      <c r="J49" s="1036"/>
      <c r="K49" s="1036"/>
      <c r="L49" s="1036"/>
      <c r="M49" s="1036"/>
      <c r="N49" s="1036"/>
      <c r="O49" s="1036"/>
    </row>
    <row r="50" spans="1:15" ht="16.5" customHeight="1">
      <c r="A50" s="1134"/>
      <c r="B50" s="1134"/>
      <c r="C50" s="1131"/>
      <c r="D50" s="1118"/>
      <c r="E50" s="34">
        <v>78687.91</v>
      </c>
      <c r="F50" s="33">
        <v>78687.91</v>
      </c>
      <c r="G50" s="33">
        <v>13886.12</v>
      </c>
      <c r="H50" s="35">
        <v>13886.11</v>
      </c>
      <c r="I50" s="790"/>
      <c r="J50" s="1036"/>
      <c r="K50" s="1036"/>
      <c r="L50" s="1036"/>
      <c r="M50" s="1036"/>
      <c r="N50" s="1036"/>
      <c r="O50" s="1036"/>
    </row>
    <row r="51" spans="1:15" ht="15" customHeight="1">
      <c r="A51" s="1134"/>
      <c r="B51" s="1134"/>
      <c r="C51" s="1131"/>
      <c r="D51" s="1118"/>
      <c r="E51" s="331">
        <v>178862.9</v>
      </c>
      <c r="F51" s="33">
        <v>178862.9</v>
      </c>
      <c r="G51" s="33">
        <v>31564.05</v>
      </c>
      <c r="H51" s="35">
        <v>31564.04</v>
      </c>
      <c r="I51" s="790"/>
      <c r="J51" s="1036"/>
      <c r="K51" s="1036"/>
      <c r="L51" s="1036"/>
      <c r="M51" s="1036"/>
      <c r="N51" s="1036"/>
      <c r="O51" s="1036"/>
    </row>
    <row r="52" spans="1:15" ht="15" customHeight="1" thickBot="1">
      <c r="A52" s="1090"/>
      <c r="B52" s="1090"/>
      <c r="C52" s="1102"/>
      <c r="D52" s="1103"/>
      <c r="E52" s="346">
        <v>42666.8</v>
      </c>
      <c r="F52" s="15">
        <v>42666.8</v>
      </c>
      <c r="G52" s="15">
        <v>7529.43</v>
      </c>
      <c r="H52" s="16">
        <v>7529.45</v>
      </c>
      <c r="I52" s="766"/>
      <c r="J52" s="1027"/>
      <c r="K52" s="1027"/>
      <c r="L52" s="1027"/>
      <c r="M52" s="1027"/>
      <c r="N52" s="1027"/>
      <c r="O52" s="1027"/>
    </row>
    <row r="53" spans="1:15" ht="19.5" customHeight="1">
      <c r="A53" s="1133" t="s">
        <v>110</v>
      </c>
      <c r="B53" s="690" t="s">
        <v>111</v>
      </c>
      <c r="C53" s="61">
        <v>2872276.26</v>
      </c>
      <c r="D53" s="80">
        <v>506872.28</v>
      </c>
      <c r="E53" s="25">
        <v>31036.31</v>
      </c>
      <c r="F53" s="19">
        <v>31036.31</v>
      </c>
      <c r="G53" s="19">
        <v>5477</v>
      </c>
      <c r="H53" s="20">
        <v>5477</v>
      </c>
      <c r="I53" s="789">
        <f>SUM(E53:H61)</f>
        <v>3378160.8799999994</v>
      </c>
      <c r="J53" s="1035">
        <f>I53/C54*100</f>
        <v>99.97077192706064</v>
      </c>
      <c r="K53" s="1035">
        <f>BG_čerpanie!K53</f>
        <v>2571604.3848502953</v>
      </c>
      <c r="L53" s="1035">
        <f>K53/C53*100</f>
        <v>89.53193049927222</v>
      </c>
      <c r="M53" s="1035">
        <f>79914+7074+7073+683293+683294+340110+340110+158287+158286+56129+56130+299+298</f>
        <v>2570297</v>
      </c>
      <c r="N53" s="1035">
        <f>M53/C53*100</f>
        <v>89.48641312099973</v>
      </c>
      <c r="O53" s="1035">
        <f>(C53-K53)/C53*100/9</f>
        <v>1.1631188334141978</v>
      </c>
    </row>
    <row r="54" spans="1:15" ht="19.5" customHeight="1">
      <c r="A54" s="1134"/>
      <c r="B54" s="691"/>
      <c r="C54" s="1129">
        <f>C53+D53</f>
        <v>3379148.54</v>
      </c>
      <c r="D54" s="1130"/>
      <c r="E54" s="34">
        <v>7412.38</v>
      </c>
      <c r="F54" s="33">
        <v>7412.38</v>
      </c>
      <c r="G54" s="33">
        <v>1308.07</v>
      </c>
      <c r="H54" s="35">
        <v>1308.07</v>
      </c>
      <c r="I54" s="790"/>
      <c r="J54" s="1036"/>
      <c r="K54" s="1036"/>
      <c r="L54" s="1036"/>
      <c r="M54" s="1036"/>
      <c r="N54" s="1036"/>
      <c r="O54" s="1036"/>
    </row>
    <row r="55" spans="1:15" ht="19.5" customHeight="1">
      <c r="A55" s="1134"/>
      <c r="B55" s="691"/>
      <c r="C55" s="1131"/>
      <c r="D55" s="1118"/>
      <c r="E55" s="34">
        <v>874603.76</v>
      </c>
      <c r="F55" s="33">
        <v>874603.76</v>
      </c>
      <c r="G55" s="33">
        <v>154341.84</v>
      </c>
      <c r="H55" s="35">
        <v>154341.84</v>
      </c>
      <c r="I55" s="790"/>
      <c r="J55" s="1036"/>
      <c r="K55" s="1036"/>
      <c r="L55" s="1036"/>
      <c r="M55" s="1036"/>
      <c r="N55" s="1036"/>
      <c r="O55" s="1036"/>
    </row>
    <row r="56" spans="1:15" ht="19.5" customHeight="1">
      <c r="A56" s="1134"/>
      <c r="B56" s="691"/>
      <c r="C56" s="1131"/>
      <c r="D56" s="1118"/>
      <c r="E56" s="30">
        <v>9775</v>
      </c>
      <c r="F56" s="31">
        <v>9775</v>
      </c>
      <c r="G56" s="31">
        <v>1725</v>
      </c>
      <c r="H56" s="32">
        <v>1725</v>
      </c>
      <c r="I56" s="790"/>
      <c r="J56" s="1036"/>
      <c r="K56" s="1036"/>
      <c r="L56" s="1036"/>
      <c r="M56" s="1036"/>
      <c r="N56" s="1036"/>
      <c r="O56" s="1036"/>
    </row>
    <row r="57" spans="1:15" ht="19.5" customHeight="1">
      <c r="A57" s="1134"/>
      <c r="B57" s="691"/>
      <c r="C57" s="1131"/>
      <c r="D57" s="1118"/>
      <c r="E57" s="34">
        <v>362996.17</v>
      </c>
      <c r="F57" s="33">
        <v>362996.17</v>
      </c>
      <c r="G57" s="33">
        <v>64058.15</v>
      </c>
      <c r="H57" s="35">
        <v>64058.15</v>
      </c>
      <c r="I57" s="790"/>
      <c r="J57" s="1036"/>
      <c r="K57" s="1036"/>
      <c r="L57" s="1036"/>
      <c r="M57" s="1036"/>
      <c r="N57" s="1036"/>
      <c r="O57" s="1036"/>
    </row>
    <row r="58" spans="1:15" ht="19.5" customHeight="1" thickBot="1">
      <c r="A58" s="1134"/>
      <c r="B58" s="691"/>
      <c r="C58" s="1131"/>
      <c r="D58" s="1118"/>
      <c r="E58" s="34">
        <v>7650</v>
      </c>
      <c r="F58" s="33">
        <v>7650</v>
      </c>
      <c r="G58" s="33">
        <v>1350</v>
      </c>
      <c r="H58" s="35">
        <v>1350</v>
      </c>
      <c r="I58" s="790"/>
      <c r="J58" s="1036"/>
      <c r="K58" s="1036"/>
      <c r="L58" s="1036"/>
      <c r="M58" s="1036"/>
      <c r="N58" s="1036"/>
      <c r="O58" s="1027"/>
    </row>
    <row r="59" spans="1:15" ht="19.5" customHeight="1">
      <c r="A59" s="1134"/>
      <c r="B59" s="691"/>
      <c r="C59" s="1131"/>
      <c r="D59" s="1118"/>
      <c r="E59" s="34">
        <v>41589.14</v>
      </c>
      <c r="F59" s="33">
        <v>41589.14</v>
      </c>
      <c r="G59" s="33">
        <v>7339.26</v>
      </c>
      <c r="H59" s="35">
        <v>7339.26</v>
      </c>
      <c r="I59" s="790"/>
      <c r="J59" s="1036"/>
      <c r="K59" s="1036"/>
      <c r="L59" s="1036"/>
      <c r="M59" s="1036"/>
      <c r="N59" s="1036"/>
      <c r="O59" s="84"/>
    </row>
    <row r="60" spans="1:15" ht="19.5" customHeight="1">
      <c r="A60" s="1067"/>
      <c r="B60" s="692"/>
      <c r="C60" s="1144"/>
      <c r="D60" s="1145"/>
      <c r="E60" s="34">
        <v>292.54</v>
      </c>
      <c r="F60" s="33">
        <v>292.54</v>
      </c>
      <c r="G60" s="33">
        <v>51.64</v>
      </c>
      <c r="H60" s="35">
        <v>51.63</v>
      </c>
      <c r="I60" s="1127"/>
      <c r="J60" s="1127"/>
      <c r="K60" s="1127"/>
      <c r="L60" s="1127"/>
      <c r="M60" s="1127"/>
      <c r="N60" s="1127"/>
      <c r="O60" s="41"/>
    </row>
    <row r="61" spans="1:15" ht="19.5" customHeight="1" thickBot="1">
      <c r="A61" s="1128"/>
      <c r="B61" s="693"/>
      <c r="C61" s="1146"/>
      <c r="D61" s="1147"/>
      <c r="E61" s="14">
        <v>100363.07</v>
      </c>
      <c r="F61" s="15">
        <v>100363.07</v>
      </c>
      <c r="G61" s="15">
        <v>17711.11</v>
      </c>
      <c r="H61" s="16">
        <v>17711.12</v>
      </c>
      <c r="I61" s="1157"/>
      <c r="J61" s="1157"/>
      <c r="K61" s="1157"/>
      <c r="L61" s="1157"/>
      <c r="M61" s="1157"/>
      <c r="N61" s="1157"/>
      <c r="O61" s="41"/>
    </row>
    <row r="62" spans="1:15" ht="15" customHeight="1" thickBot="1">
      <c r="A62" s="749" t="s">
        <v>75</v>
      </c>
      <c r="B62" s="750"/>
      <c r="C62" s="751">
        <f>C7+C46+C30+C36+C15+C54+C18+C22</f>
        <v>16211033.730622053</v>
      </c>
      <c r="D62" s="752"/>
      <c r="E62" s="507">
        <f>SUM(E6:E61)</f>
        <v>6304192.374815773</v>
      </c>
      <c r="F62" s="508">
        <f>SUM(F6:F61)</f>
        <v>7395164.3248157725</v>
      </c>
      <c r="G62" s="508">
        <f>SUM(G6:G61)</f>
        <v>1112504.656817367</v>
      </c>
      <c r="H62" s="509">
        <f>SUM(H6:H61)</f>
        <v>1305029.046065857</v>
      </c>
      <c r="I62" s="510">
        <f>I6+I45+I29+I35+I14+I53+I17+I21</f>
        <v>16116890.40251477</v>
      </c>
      <c r="J62" s="511">
        <f>I62/C62*100</f>
        <v>99.41926388118328</v>
      </c>
      <c r="K62" s="512">
        <f>K6+K45+K29+K35+K14+K53+K17+K21</f>
        <v>11854374.150619444</v>
      </c>
      <c r="L62" s="512">
        <f>K62/SUM(C6+C45+C29+C35+C14+C53+C17+C21)*100</f>
        <v>86.02981551854</v>
      </c>
      <c r="M62" s="512">
        <f>SUM(M6:M60)</f>
        <v>11855922.88205935</v>
      </c>
      <c r="N62" s="512">
        <f>M62/SUM(C6+C45+C29+C35+C14+C53+C17+C21)*100</f>
        <v>86.04105500519448</v>
      </c>
      <c r="O62" s="512">
        <f>(C17+C6+C29+C35+C45+C53+C14-K17-K21-K6-K29-K35-K45-K53-K14)/(C17+C6+C29+C35+C45+C53+C14)*100/9</f>
        <v>-0.03188780636522342</v>
      </c>
    </row>
    <row r="63" spans="1:6" ht="12.75">
      <c r="A63" t="s">
        <v>91</v>
      </c>
      <c r="E63" s="794"/>
      <c r="F63" s="795"/>
    </row>
    <row r="64" ht="12.75" hidden="1">
      <c r="A64" s="89" t="s">
        <v>77</v>
      </c>
    </row>
    <row r="65" ht="12.75" hidden="1"/>
    <row r="66" spans="1:10" ht="12.75" hidden="1">
      <c r="A66" s="89" t="s">
        <v>281</v>
      </c>
      <c r="B66" s="89"/>
      <c r="C66" s="89"/>
      <c r="D66" s="89"/>
      <c r="E66" s="89"/>
      <c r="F66" s="89"/>
      <c r="G66" s="89"/>
      <c r="H66" s="89"/>
      <c r="I66" s="89"/>
      <c r="J66" s="89"/>
    </row>
    <row r="67" spans="1:12" ht="12.75" hidden="1">
      <c r="A67" s="89" t="s">
        <v>282</v>
      </c>
      <c r="B67" s="89"/>
      <c r="C67" s="89"/>
      <c r="D67" s="89"/>
      <c r="E67" s="89"/>
      <c r="F67" s="89"/>
      <c r="G67" s="89"/>
      <c r="H67" s="89"/>
      <c r="I67" s="89"/>
      <c r="J67" s="89"/>
      <c r="K67" s="90"/>
      <c r="L67" s="90"/>
    </row>
    <row r="68" spans="2:6" ht="12.75">
      <c r="B68" s="70" t="s">
        <v>283</v>
      </c>
      <c r="C68" s="796" t="s">
        <v>284</v>
      </c>
      <c r="D68" s="796"/>
      <c r="E68" s="796"/>
      <c r="F68" s="796"/>
    </row>
    <row r="69" spans="2:7" ht="12.75">
      <c r="B69" s="70" t="s">
        <v>285</v>
      </c>
      <c r="C69" s="796" t="s">
        <v>286</v>
      </c>
      <c r="D69" s="796"/>
      <c r="E69" s="796"/>
      <c r="F69" s="796"/>
      <c r="G69" s="90"/>
    </row>
    <row r="70" spans="1:7" ht="12.75">
      <c r="A70" s="91"/>
      <c r="B70" s="70" t="s">
        <v>287</v>
      </c>
      <c r="C70" s="70" t="s">
        <v>288</v>
      </c>
      <c r="D70" s="70"/>
      <c r="E70" s="70"/>
      <c r="F70" s="71"/>
      <c r="G70" s="90"/>
    </row>
    <row r="71" spans="1:8" ht="12.75">
      <c r="A71" s="91"/>
      <c r="B71" s="70" t="s">
        <v>289</v>
      </c>
      <c r="C71" s="796" t="s">
        <v>290</v>
      </c>
      <c r="D71" s="796"/>
      <c r="E71" s="796"/>
      <c r="F71" s="796"/>
      <c r="G71" s="90"/>
      <c r="H71" s="90"/>
    </row>
    <row r="72" spans="1:6" ht="12.75">
      <c r="A72" s="91"/>
      <c r="B72" s="70" t="s">
        <v>249</v>
      </c>
      <c r="C72" s="70" t="s">
        <v>297</v>
      </c>
      <c r="D72" s="1"/>
      <c r="E72" s="1"/>
      <c r="F72" s="1"/>
    </row>
    <row r="73" spans="1:6" ht="12.75" hidden="1">
      <c r="A73" s="91"/>
      <c r="B73" s="70"/>
      <c r="C73" s="70"/>
      <c r="D73" s="1"/>
      <c r="E73" s="1"/>
      <c r="F73" s="1"/>
    </row>
    <row r="74" spans="1:6" ht="12.75" hidden="1">
      <c r="A74" s="91"/>
      <c r="B74" s="70"/>
      <c r="C74" s="70"/>
      <c r="D74" s="1"/>
      <c r="E74" s="1"/>
      <c r="F74" s="1"/>
    </row>
    <row r="75" spans="1:6" ht="12.75" hidden="1">
      <c r="A75" s="91"/>
      <c r="B75" s="70"/>
      <c r="C75" s="70"/>
      <c r="D75" s="1"/>
      <c r="E75" s="1"/>
      <c r="F75" s="1"/>
    </row>
    <row r="76" spans="1:13" ht="12.75" hidden="1">
      <c r="A76" s="753" t="s">
        <v>293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</row>
    <row r="77" ht="12.75" hidden="1"/>
    <row r="78" spans="10:14" ht="13.5" hidden="1" thickBot="1">
      <c r="J78" s="786" t="s">
        <v>87</v>
      </c>
      <c r="K78" s="786"/>
      <c r="L78" s="786"/>
      <c r="M78" s="786"/>
      <c r="N78" s="786"/>
    </row>
    <row r="79" spans="1:14" ht="16.5" customHeight="1" hidden="1">
      <c r="A79" s="754" t="s">
        <v>273</v>
      </c>
      <c r="B79" s="754" t="s">
        <v>100</v>
      </c>
      <c r="C79" s="756" t="s">
        <v>2</v>
      </c>
      <c r="D79" s="757"/>
      <c r="E79" s="758" t="s">
        <v>89</v>
      </c>
      <c r="F79" s="759"/>
      <c r="G79" s="759"/>
      <c r="H79" s="759"/>
      <c r="I79" s="759"/>
      <c r="J79" s="760" t="s">
        <v>274</v>
      </c>
      <c r="K79" s="760" t="s">
        <v>86</v>
      </c>
      <c r="L79" s="760" t="s">
        <v>275</v>
      </c>
      <c r="M79" s="760" t="s">
        <v>255</v>
      </c>
      <c r="N79" s="760" t="s">
        <v>198</v>
      </c>
    </row>
    <row r="80" spans="1:14" ht="63" customHeight="1" hidden="1">
      <c r="A80" s="755"/>
      <c r="B80" s="755"/>
      <c r="C80" s="6" t="s">
        <v>3</v>
      </c>
      <c r="D80" s="8" t="s">
        <v>4</v>
      </c>
      <c r="E80" s="6" t="s">
        <v>5</v>
      </c>
      <c r="F80" s="7" t="s">
        <v>6</v>
      </c>
      <c r="G80" s="7" t="s">
        <v>7</v>
      </c>
      <c r="H80" s="8" t="s">
        <v>8</v>
      </c>
      <c r="I80" s="506" t="s">
        <v>90</v>
      </c>
      <c r="J80" s="761"/>
      <c r="K80" s="761"/>
      <c r="L80" s="761"/>
      <c r="M80" s="761"/>
      <c r="N80" s="761"/>
    </row>
    <row r="81" spans="1:14" ht="12.75" hidden="1">
      <c r="A81" s="762" t="s">
        <v>101</v>
      </c>
      <c r="B81" s="764" t="s">
        <v>102</v>
      </c>
      <c r="C81" s="9">
        <f>45468302/30.126</f>
        <v>1509271.1279293632</v>
      </c>
      <c r="D81" s="10">
        <f>8023833.94/30.126</f>
        <v>266342.4928633074</v>
      </c>
      <c r="E81" s="12">
        <f>5056473.2/30.126</f>
        <v>167844.16118967006</v>
      </c>
      <c r="F81" s="11">
        <f>5056473.2/30.126</f>
        <v>167844.16118967006</v>
      </c>
      <c r="G81" s="11">
        <f>892318.8/30.126</f>
        <v>29619.557857000596</v>
      </c>
      <c r="H81" s="13">
        <f>892318.8/30.126</f>
        <v>29619.557857000596</v>
      </c>
      <c r="I81" s="789">
        <f>SUM(E81:H82)</f>
        <v>409945.53541791154</v>
      </c>
      <c r="J81" s="1035">
        <f>I81/C82*100</f>
        <v>23.08754171613661</v>
      </c>
      <c r="K81" s="1035">
        <f>384569.75/30.126</f>
        <v>12765.377082918409</v>
      </c>
      <c r="L81" s="1035">
        <f>K81/C81*100</f>
        <v>0.8457974744691368</v>
      </c>
      <c r="M81" s="1035">
        <f>(174013.14+174013.14)/30.126</f>
        <v>11552.356104361681</v>
      </c>
      <c r="N81" s="1035">
        <f>M81/C81*100</f>
        <v>0.7654261643639124</v>
      </c>
    </row>
    <row r="82" spans="1:14" ht="13.5" hidden="1" thickBot="1">
      <c r="A82" s="763"/>
      <c r="B82" s="765"/>
      <c r="C82" s="767">
        <f>SUM(C81:D81)</f>
        <v>1775613.6207926706</v>
      </c>
      <c r="D82" s="717"/>
      <c r="E82" s="45">
        <f>192284.96/30.126</f>
        <v>6382.691362942309</v>
      </c>
      <c r="F82" s="22">
        <f>192284.96/30.126</f>
        <v>6382.691362942309</v>
      </c>
      <c r="G82" s="31">
        <f>33932.64/30.126</f>
        <v>1126.3572993427604</v>
      </c>
      <c r="H82" s="32">
        <f>33932.64/30.126</f>
        <v>1126.3572993427604</v>
      </c>
      <c r="I82" s="766"/>
      <c r="J82" s="1027"/>
      <c r="K82" s="1027"/>
      <c r="L82" s="1027"/>
      <c r="M82" s="1027"/>
      <c r="N82" s="1027"/>
    </row>
    <row r="83" spans="1:14" ht="12.75" hidden="1">
      <c r="A83" s="762" t="s">
        <v>103</v>
      </c>
      <c r="B83" s="764" t="s">
        <v>104</v>
      </c>
      <c r="C83" s="9">
        <f>50821500/30.126</f>
        <v>1686964.7480581556</v>
      </c>
      <c r="D83" s="10">
        <f>8968503.98/30.126</f>
        <v>297699.7935338246</v>
      </c>
      <c r="E83" s="25">
        <v>308635.57226316136</v>
      </c>
      <c r="F83" s="19">
        <v>308635.57226316136</v>
      </c>
      <c r="G83" s="19">
        <v>54465.10090951337</v>
      </c>
      <c r="H83" s="20">
        <v>54465.10090951337</v>
      </c>
      <c r="I83" s="789">
        <f>SUM(E83:H84)</f>
        <v>777700.3463453496</v>
      </c>
      <c r="J83" s="1035">
        <f>I83/C84*100</f>
        <v>39.1854809741058</v>
      </c>
      <c r="K83" s="1035">
        <f>43774.16/30.126</f>
        <v>1453.0359158202218</v>
      </c>
      <c r="L83" s="1035">
        <f>K83/C83*100</f>
        <v>0.08613315230758636</v>
      </c>
      <c r="M83" s="1035">
        <f>(19756.75+19787.15)/30.126</f>
        <v>1312.617008564031</v>
      </c>
      <c r="N83" s="1035">
        <f>M83/C83*100</f>
        <v>0.07780939169446002</v>
      </c>
    </row>
    <row r="84" spans="1:14" ht="34.5" customHeight="1" hidden="1">
      <c r="A84" s="722"/>
      <c r="B84" s="689"/>
      <c r="C84" s="767">
        <f>C83+D83</f>
        <v>1984664.5415919803</v>
      </c>
      <c r="D84" s="717"/>
      <c r="E84" s="49">
        <f>21887.08</f>
        <v>21887.08</v>
      </c>
      <c r="F84" s="22">
        <f>21887.08</f>
        <v>21887.08</v>
      </c>
      <c r="G84" s="22">
        <f>3862.42</f>
        <v>3862.42</v>
      </c>
      <c r="H84" s="23">
        <f>3862.42</f>
        <v>3862.42</v>
      </c>
      <c r="I84" s="766"/>
      <c r="J84" s="1027"/>
      <c r="K84" s="1027"/>
      <c r="L84" s="1027"/>
      <c r="M84" s="1027"/>
      <c r="N84" s="1027"/>
    </row>
    <row r="85" spans="1:14" ht="12.75" hidden="1">
      <c r="A85" s="762" t="s">
        <v>276</v>
      </c>
      <c r="B85" s="764" t="s">
        <v>105</v>
      </c>
      <c r="C85" s="9">
        <f>50821500/30.126</f>
        <v>1686964.7480581556</v>
      </c>
      <c r="D85" s="10">
        <f>8968504/30.126</f>
        <v>297699.79419770295</v>
      </c>
      <c r="E85" s="25">
        <f>10115000/30.126</f>
        <v>335756.48941113986</v>
      </c>
      <c r="F85" s="19">
        <f>10115000/30.126</f>
        <v>335756.48941113986</v>
      </c>
      <c r="G85" s="19">
        <f>1785000/30.126</f>
        <v>59251.145190201154</v>
      </c>
      <c r="H85" s="20">
        <f>1785000/30.126</f>
        <v>59251.145190201154</v>
      </c>
      <c r="I85" s="789">
        <f>(E85+F85+G85+H85)</f>
        <v>790015.269202682</v>
      </c>
      <c r="J85" s="1035">
        <f>I85/C86*100</f>
        <v>39.80598496029536</v>
      </c>
      <c r="K85" s="1035">
        <v>0</v>
      </c>
      <c r="L85" s="1035">
        <f>0</f>
        <v>0</v>
      </c>
      <c r="M85" s="1035">
        <v>0</v>
      </c>
      <c r="N85" s="1035">
        <f>0</f>
        <v>0</v>
      </c>
    </row>
    <row r="86" spans="1:14" ht="13.5" hidden="1" thickBot="1">
      <c r="A86" s="763"/>
      <c r="B86" s="765"/>
      <c r="C86" s="767">
        <f>C85+D85</f>
        <v>1984664.5422558587</v>
      </c>
      <c r="D86" s="717"/>
      <c r="E86" s="495"/>
      <c r="F86" s="496"/>
      <c r="G86" s="496"/>
      <c r="H86" s="497"/>
      <c r="I86" s="766"/>
      <c r="J86" s="1027"/>
      <c r="K86" s="1027"/>
      <c r="L86" s="1027"/>
      <c r="M86" s="1027"/>
      <c r="N86" s="1027"/>
    </row>
    <row r="87" spans="1:14" ht="12.75" hidden="1">
      <c r="A87" s="718" t="s">
        <v>106</v>
      </c>
      <c r="B87" s="720" t="s">
        <v>107</v>
      </c>
      <c r="C87" s="9">
        <f>67480000/30.126</f>
        <v>2239925.645621722</v>
      </c>
      <c r="D87" s="10">
        <f>11908229.34/30.126</f>
        <v>395280.7986456881</v>
      </c>
      <c r="E87" s="25">
        <f>9455060/30.126</f>
        <v>313850.4945893912</v>
      </c>
      <c r="F87" s="19">
        <f>9455060/30.126</f>
        <v>313850.4945893912</v>
      </c>
      <c r="G87" s="19">
        <f>1668540/30.126</f>
        <v>55385.38139812786</v>
      </c>
      <c r="H87" s="20">
        <f>1668540/30.126</f>
        <v>55385.38139812786</v>
      </c>
      <c r="I87" s="789">
        <f>SUM(E87:H88)</f>
        <v>755458.4412135697</v>
      </c>
      <c r="J87" s="1035">
        <f>I87/C88*100</f>
        <v>28.66790352827889</v>
      </c>
      <c r="K87" s="1035">
        <f>434979.85/30.126</f>
        <v>14438.685852751774</v>
      </c>
      <c r="L87" s="1035">
        <f>K87/C87*100</f>
        <v>0.6446055868405453</v>
      </c>
      <c r="M87" s="1035">
        <f>(194193.66+194224.05)/30.126</f>
        <v>12893.105954989045</v>
      </c>
      <c r="N87" s="1035">
        <f>M87/C87*100</f>
        <v>0.5756041938352104</v>
      </c>
    </row>
    <row r="88" spans="1:14" ht="13.5" hidden="1" thickBot="1">
      <c r="A88" s="719"/>
      <c r="B88" s="721"/>
      <c r="C88" s="767">
        <f>C87+D87</f>
        <v>2635206.4442674103</v>
      </c>
      <c r="D88" s="717"/>
      <c r="E88" s="26">
        <v>7219.342760406294</v>
      </c>
      <c r="F88" s="27">
        <v>7219.342760406294</v>
      </c>
      <c r="G88" s="27">
        <v>1274.001858859457</v>
      </c>
      <c r="H88" s="28">
        <v>1274.001858859457</v>
      </c>
      <c r="I88" s="766"/>
      <c r="J88" s="1027"/>
      <c r="K88" s="1027"/>
      <c r="L88" s="1027"/>
      <c r="M88" s="1027"/>
      <c r="N88" s="1027"/>
    </row>
    <row r="89" spans="1:14" ht="12.75" hidden="1">
      <c r="A89" s="762" t="s">
        <v>108</v>
      </c>
      <c r="B89" s="762" t="s">
        <v>109</v>
      </c>
      <c r="C89" s="9">
        <f>300000*33.832/30.126</f>
        <v>336904.9990041824</v>
      </c>
      <c r="D89" s="10">
        <f>52941*33.832/30.126</f>
        <v>59453.62517426807</v>
      </c>
      <c r="E89" s="25">
        <v>139953.53681205603</v>
      </c>
      <c r="F89" s="19">
        <v>139953.53681205603</v>
      </c>
      <c r="G89" s="19">
        <v>15787.054371639115</v>
      </c>
      <c r="H89" s="20">
        <v>15787.054371639115</v>
      </c>
      <c r="I89" s="789">
        <f>SUM(E89:H91)</f>
        <v>391044.843656642</v>
      </c>
      <c r="J89" s="1035">
        <f>I89/C90*100</f>
        <v>98.659350346464</v>
      </c>
      <c r="K89" s="1035">
        <f>7697475.06/30.126</f>
        <v>255509.3626767576</v>
      </c>
      <c r="L89" s="1035">
        <f>K89/C89*100</f>
        <v>75.84018148498463</v>
      </c>
      <c r="M89" s="1035">
        <f>(15634.08+15634.08+3549684.68+3549684.68)/30.126</f>
        <v>236693.8033592246</v>
      </c>
      <c r="N89" s="1035">
        <f>M89/C89*100</f>
        <v>70.25535508788525</v>
      </c>
    </row>
    <row r="90" spans="1:14" ht="12.75" hidden="1">
      <c r="A90" s="722"/>
      <c r="B90" s="722"/>
      <c r="C90" s="723">
        <f>C89+D89</f>
        <v>396358.6241784505</v>
      </c>
      <c r="D90" s="724"/>
      <c r="E90" s="49">
        <f>17448.37/30.126</f>
        <v>579.1797782646219</v>
      </c>
      <c r="F90" s="22">
        <f>17448.37/30.126</f>
        <v>579.1797782646219</v>
      </c>
      <c r="G90" s="22">
        <f>3079.13/30.126</f>
        <v>102.20839142269136</v>
      </c>
      <c r="H90" s="23">
        <f>3079.13/30.126</f>
        <v>102.20839142269136</v>
      </c>
      <c r="I90" s="790"/>
      <c r="J90" s="1036"/>
      <c r="K90" s="1036"/>
      <c r="L90" s="1036"/>
      <c r="M90" s="1036"/>
      <c r="N90" s="1036"/>
    </row>
    <row r="91" spans="1:14" ht="13.5" hidden="1" thickBot="1">
      <c r="A91" s="1157"/>
      <c r="B91" s="1157"/>
      <c r="C91" s="725"/>
      <c r="D91" s="726"/>
      <c r="E91" s="26">
        <f>773073.58/30.126</f>
        <v>25661.341698200886</v>
      </c>
      <c r="F91" s="27">
        <f>773073.58/30.126</f>
        <v>25661.341698200886</v>
      </c>
      <c r="G91" s="27">
        <f>404866.35/30.126</f>
        <v>13439.1007767377</v>
      </c>
      <c r="H91" s="28">
        <f>404866.35/30.126</f>
        <v>13439.1007767377</v>
      </c>
      <c r="I91" s="766"/>
      <c r="J91" s="1027"/>
      <c r="K91" s="1027"/>
      <c r="L91" s="1027"/>
      <c r="M91" s="1027"/>
      <c r="N91" s="1027"/>
    </row>
    <row r="92" spans="1:14" ht="12.75" hidden="1">
      <c r="A92" s="722" t="s">
        <v>110</v>
      </c>
      <c r="B92" s="733" t="s">
        <v>111</v>
      </c>
      <c r="C92" s="513">
        <f>86530186.8/30.126</f>
        <v>2872276.000796654</v>
      </c>
      <c r="D92" s="514">
        <f>15270040.68/30.126</f>
        <v>506872.4915355507</v>
      </c>
      <c r="E92" s="12">
        <f>935000/30.126</f>
        <v>31036.314147248224</v>
      </c>
      <c r="F92" s="11">
        <f>935000/30.126</f>
        <v>31036.314147248224</v>
      </c>
      <c r="G92" s="11">
        <f>165000/30.126</f>
        <v>5476.996614220275</v>
      </c>
      <c r="H92" s="13">
        <f>165000/30.126</f>
        <v>5476.996614220275</v>
      </c>
      <c r="I92" s="789">
        <f>SUM(E92:H93)</f>
        <v>90467.50580893579</v>
      </c>
      <c r="J92" s="1035">
        <f>I92/C93*100</f>
        <v>2.6772278878605116</v>
      </c>
      <c r="K92" s="1035">
        <f>744110.4/30.126</f>
        <v>24699.940250946027</v>
      </c>
      <c r="L92" s="1035">
        <f>K92/C92*100</f>
        <v>0.8599431337411605</v>
      </c>
      <c r="M92" s="1035">
        <v>0</v>
      </c>
      <c r="N92" s="1035">
        <f>0</f>
        <v>0</v>
      </c>
    </row>
    <row r="93" spans="1:14" ht="13.5" hidden="1" thickBot="1">
      <c r="A93" s="722"/>
      <c r="B93" s="733"/>
      <c r="C93" s="767">
        <f>C92+D92</f>
        <v>3379148.4923322042</v>
      </c>
      <c r="D93" s="717"/>
      <c r="E93" s="34">
        <f>223305.23/30.126</f>
        <v>7412.375688773816</v>
      </c>
      <c r="F93" s="33">
        <f>223305.23/30.126</f>
        <v>7412.375688773816</v>
      </c>
      <c r="G93" s="33">
        <f>39406.81/30.126</f>
        <v>1308.0664542255856</v>
      </c>
      <c r="H93" s="35">
        <f>39406.81/30.126</f>
        <v>1308.0664542255856</v>
      </c>
      <c r="I93" s="766"/>
      <c r="J93" s="1027"/>
      <c r="K93" s="1027"/>
      <c r="L93" s="1027"/>
      <c r="M93" s="1027"/>
      <c r="N93" s="1027"/>
    </row>
    <row r="94" spans="1:14" ht="12.75" hidden="1">
      <c r="A94" s="762" t="s">
        <v>277</v>
      </c>
      <c r="B94" s="720" t="s">
        <v>278</v>
      </c>
      <c r="C94" s="9">
        <f>27754426/30.126</f>
        <v>921278.1650401646</v>
      </c>
      <c r="D94" s="10">
        <f>4897849.765/30.126</f>
        <v>162578.82775675494</v>
      </c>
      <c r="E94" s="25">
        <f>11063523.16/30.126</f>
        <v>367241.69023434905</v>
      </c>
      <c r="F94" s="19">
        <v>0</v>
      </c>
      <c r="G94" s="19">
        <f>1952386.55/30.126</f>
        <v>64807.36075151032</v>
      </c>
      <c r="H94" s="17">
        <v>0</v>
      </c>
      <c r="I94" s="789">
        <f>E94+G94</f>
        <v>432049.05098585936</v>
      </c>
      <c r="J94" s="1035">
        <f>I94/C95*100</f>
        <v>39.86218235958843</v>
      </c>
      <c r="K94" s="1035">
        <v>0</v>
      </c>
      <c r="L94" s="1035">
        <v>0</v>
      </c>
      <c r="M94" s="1035">
        <v>0</v>
      </c>
      <c r="N94" s="1035">
        <v>0</v>
      </c>
    </row>
    <row r="95" spans="1:14" ht="13.5" hidden="1" thickBot="1">
      <c r="A95" s="763"/>
      <c r="B95" s="721"/>
      <c r="C95" s="767">
        <f>C94+D94</f>
        <v>1083856.9927969195</v>
      </c>
      <c r="D95" s="717"/>
      <c r="E95" s="495"/>
      <c r="F95" s="496"/>
      <c r="G95" s="496"/>
      <c r="H95" s="515"/>
      <c r="I95" s="766"/>
      <c r="J95" s="1027"/>
      <c r="K95" s="1027"/>
      <c r="L95" s="1027"/>
      <c r="M95" s="1027"/>
      <c r="N95" s="1027"/>
    </row>
    <row r="96" spans="1:14" ht="12.75" hidden="1">
      <c r="A96" s="718" t="s">
        <v>279</v>
      </c>
      <c r="B96" s="720" t="s">
        <v>280</v>
      </c>
      <c r="C96" s="513">
        <f>59014670.31/30.126</f>
        <v>1958928.1786496714</v>
      </c>
      <c r="D96" s="514">
        <f>10414353.58/30.126</f>
        <v>345693.20786032</v>
      </c>
      <c r="E96" s="25">
        <v>0</v>
      </c>
      <c r="F96" s="19">
        <v>0</v>
      </c>
      <c r="G96" s="19">
        <v>0</v>
      </c>
      <c r="H96" s="17">
        <v>0</v>
      </c>
      <c r="I96" s="789">
        <f>SUM(E96:H97)</f>
        <v>0</v>
      </c>
      <c r="J96" s="1035">
        <v>0</v>
      </c>
      <c r="K96" s="1035">
        <v>0</v>
      </c>
      <c r="L96" s="1035">
        <v>0</v>
      </c>
      <c r="M96" s="1035">
        <v>0</v>
      </c>
      <c r="N96" s="1035">
        <v>0</v>
      </c>
    </row>
    <row r="97" spans="1:14" ht="13.5" hidden="1" thickBot="1">
      <c r="A97" s="732"/>
      <c r="B97" s="733"/>
      <c r="C97" s="734">
        <f>C96+D96</f>
        <v>2304621.3865099913</v>
      </c>
      <c r="D97" s="735"/>
      <c r="E97" s="30">
        <v>0</v>
      </c>
      <c r="F97" s="31">
        <v>0</v>
      </c>
      <c r="G97" s="31">
        <v>0</v>
      </c>
      <c r="H97" s="29">
        <v>0</v>
      </c>
      <c r="I97" s="790"/>
      <c r="J97" s="1036"/>
      <c r="K97" s="1027"/>
      <c r="L97" s="1027"/>
      <c r="M97" s="1027"/>
      <c r="N97" s="1027"/>
    </row>
    <row r="98" spans="1:14" ht="13.5" hidden="1" thickBot="1">
      <c r="A98" s="728" t="s">
        <v>294</v>
      </c>
      <c r="B98" s="729"/>
      <c r="C98" s="730">
        <f>SUM(C82+C84+C86+C88+C90+C93+C95+C97)</f>
        <v>15544134.644725487</v>
      </c>
      <c r="D98" s="731"/>
      <c r="E98" s="516">
        <f>SUM(E81:E97)</f>
        <v>1733460.2699356037</v>
      </c>
      <c r="F98" s="517">
        <f>SUM(F81:F97)</f>
        <v>1366218.5797012546</v>
      </c>
      <c r="G98" s="517">
        <f>SUM(G81:G97)</f>
        <v>305904.75187280093</v>
      </c>
      <c r="H98" s="518">
        <f>SUM(H81:H97)</f>
        <v>241097.3911212906</v>
      </c>
      <c r="I98" s="519">
        <f>SUM(I81:I97)</f>
        <v>3646680.9926309497</v>
      </c>
      <c r="J98" s="520">
        <f>I98/C98*100</f>
        <v>23.46017373098579</v>
      </c>
      <c r="K98" s="521">
        <f>SUM(K81:K97)</f>
        <v>308866.401779194</v>
      </c>
      <c r="L98" s="522">
        <f>K98/C98*100</f>
        <v>1.987028604927841</v>
      </c>
      <c r="M98" s="521">
        <f>SUM(M81:M97)</f>
        <v>262451.8824271394</v>
      </c>
      <c r="N98" s="520">
        <f>M98/C98*100</f>
        <v>1.6884303206688698</v>
      </c>
    </row>
    <row r="99" ht="12.75" hidden="1">
      <c r="A99" t="s">
        <v>91</v>
      </c>
    </row>
    <row r="100" ht="12.75" hidden="1"/>
    <row r="101" spans="3:7" ht="12.75" hidden="1">
      <c r="C101" s="70" t="s">
        <v>283</v>
      </c>
      <c r="D101" s="796" t="s">
        <v>284</v>
      </c>
      <c r="E101" s="796"/>
      <c r="F101" s="796"/>
      <c r="G101" s="796"/>
    </row>
    <row r="102" spans="3:7" ht="12.75" hidden="1">
      <c r="C102" s="70" t="s">
        <v>285</v>
      </c>
      <c r="D102" s="796" t="s">
        <v>286</v>
      </c>
      <c r="E102" s="796"/>
      <c r="F102" s="796"/>
      <c r="G102" s="796"/>
    </row>
    <row r="103" spans="3:7" ht="12.75" hidden="1">
      <c r="C103" s="70" t="s">
        <v>287</v>
      </c>
      <c r="D103" s="70" t="s">
        <v>288</v>
      </c>
      <c r="E103" s="70"/>
      <c r="F103" s="70"/>
      <c r="G103" s="71"/>
    </row>
    <row r="104" spans="3:7" ht="12.75" hidden="1">
      <c r="C104" s="70" t="s">
        <v>289</v>
      </c>
      <c r="D104" s="796" t="s">
        <v>290</v>
      </c>
      <c r="E104" s="796"/>
      <c r="F104" s="796"/>
      <c r="G104" s="796"/>
    </row>
    <row r="105" spans="3:7" ht="12.75" hidden="1">
      <c r="C105" s="70" t="s">
        <v>291</v>
      </c>
      <c r="D105" s="70" t="s">
        <v>292</v>
      </c>
      <c r="E105" s="1"/>
      <c r="F105" s="1"/>
      <c r="G105" s="1"/>
    </row>
    <row r="106" ht="12.75" hidden="1"/>
    <row r="107" ht="12.75" hidden="1"/>
    <row r="108" spans="5:13" ht="12.75">
      <c r="E108" s="90"/>
      <c r="F108" s="90"/>
      <c r="G108" s="90"/>
      <c r="H108" s="90"/>
      <c r="I108" s="214"/>
      <c r="J108" s="214"/>
      <c r="K108" s="90"/>
      <c r="L108" s="90"/>
      <c r="M108" s="90"/>
    </row>
    <row r="109" spans="5:13" ht="12.75">
      <c r="E109" s="214"/>
      <c r="F109" s="214"/>
      <c r="G109" s="214"/>
      <c r="H109" s="214"/>
      <c r="I109" s="214"/>
      <c r="J109" s="214"/>
      <c r="K109" s="90"/>
      <c r="L109" s="90"/>
      <c r="M109" s="90"/>
    </row>
    <row r="110" spans="5:13" ht="12.75">
      <c r="E110" s="90"/>
      <c r="F110" s="90"/>
      <c r="G110" s="90"/>
      <c r="H110" s="90"/>
      <c r="I110" s="90"/>
      <c r="J110" s="214"/>
      <c r="K110" s="90"/>
      <c r="L110" s="90"/>
      <c r="M110" s="90"/>
    </row>
    <row r="111" spans="7:12" ht="12.75">
      <c r="G111" s="779"/>
      <c r="H111" s="90"/>
      <c r="I111" s="90"/>
      <c r="J111" s="214"/>
      <c r="L111" s="90"/>
    </row>
  </sheetData>
  <sheetProtection/>
  <mergeCells count="186">
    <mergeCell ref="N53:N61"/>
    <mergeCell ref="J45:J52"/>
    <mergeCell ref="L29:L34"/>
    <mergeCell ref="L45:L52"/>
    <mergeCell ref="M45:M52"/>
    <mergeCell ref="K29:K34"/>
    <mergeCell ref="N35:N44"/>
    <mergeCell ref="L35:L44"/>
    <mergeCell ref="M35:M44"/>
    <mergeCell ref="N45:N52"/>
    <mergeCell ref="M53:M61"/>
    <mergeCell ref="C22:D28"/>
    <mergeCell ref="J21:J28"/>
    <mergeCell ref="I35:I44"/>
    <mergeCell ref="J35:J44"/>
    <mergeCell ref="K35:K44"/>
    <mergeCell ref="I53:I61"/>
    <mergeCell ref="J53:J61"/>
    <mergeCell ref="K53:K61"/>
    <mergeCell ref="L53:L61"/>
    <mergeCell ref="J17:J20"/>
    <mergeCell ref="C15:D16"/>
    <mergeCell ref="I14:I16"/>
    <mergeCell ref="J14:J16"/>
    <mergeCell ref="A2:N2"/>
    <mergeCell ref="J3:N3"/>
    <mergeCell ref="A4:A5"/>
    <mergeCell ref="B4:B5"/>
    <mergeCell ref="E4:I4"/>
    <mergeCell ref="J4:J5"/>
    <mergeCell ref="N4:N5"/>
    <mergeCell ref="K4:K5"/>
    <mergeCell ref="C5:D5"/>
    <mergeCell ref="K17:K20"/>
    <mergeCell ref="L17:L20"/>
    <mergeCell ref="N17:N20"/>
    <mergeCell ref="C18:D20"/>
    <mergeCell ref="M17:M20"/>
    <mergeCell ref="M4:M5"/>
    <mergeCell ref="M6:M13"/>
    <mergeCell ref="M14:M16"/>
    <mergeCell ref="K14:K16"/>
    <mergeCell ref="I17:I20"/>
    <mergeCell ref="A21:A28"/>
    <mergeCell ref="A6:A13"/>
    <mergeCell ref="B6:B13"/>
    <mergeCell ref="B21:B28"/>
    <mergeCell ref="C7:D13"/>
    <mergeCell ref="A17:A20"/>
    <mergeCell ref="A14:A16"/>
    <mergeCell ref="B14:B16"/>
    <mergeCell ref="A62:B62"/>
    <mergeCell ref="C62:D62"/>
    <mergeCell ref="E63:F63"/>
    <mergeCell ref="B17:B20"/>
    <mergeCell ref="B45:B52"/>
    <mergeCell ref="A53:A61"/>
    <mergeCell ref="B53:B61"/>
    <mergeCell ref="C54:D61"/>
    <mergeCell ref="B35:B44"/>
    <mergeCell ref="C68:F68"/>
    <mergeCell ref="A81:A82"/>
    <mergeCell ref="B81:B82"/>
    <mergeCell ref="I81:I82"/>
    <mergeCell ref="C82:D82"/>
    <mergeCell ref="C69:F69"/>
    <mergeCell ref="C71:F71"/>
    <mergeCell ref="C84:D84"/>
    <mergeCell ref="A79:A80"/>
    <mergeCell ref="B79:B80"/>
    <mergeCell ref="C79:D79"/>
    <mergeCell ref="B87:B88"/>
    <mergeCell ref="I87:I88"/>
    <mergeCell ref="J87:J88"/>
    <mergeCell ref="K87:K88"/>
    <mergeCell ref="M87:M88"/>
    <mergeCell ref="N87:N88"/>
    <mergeCell ref="C88:D88"/>
    <mergeCell ref="A89:A91"/>
    <mergeCell ref="B89:B91"/>
    <mergeCell ref="I89:I91"/>
    <mergeCell ref="J89:J91"/>
    <mergeCell ref="K89:K91"/>
    <mergeCell ref="L89:L91"/>
    <mergeCell ref="A87:A88"/>
    <mergeCell ref="M89:M91"/>
    <mergeCell ref="N89:N91"/>
    <mergeCell ref="C90:D91"/>
    <mergeCell ref="A92:A93"/>
    <mergeCell ref="B92:B93"/>
    <mergeCell ref="I92:I93"/>
    <mergeCell ref="J92:J93"/>
    <mergeCell ref="K92:K93"/>
    <mergeCell ref="N92:N93"/>
    <mergeCell ref="C93:D93"/>
    <mergeCell ref="D104:G104"/>
    <mergeCell ref="N94:N95"/>
    <mergeCell ref="C95:D95"/>
    <mergeCell ref="A96:A97"/>
    <mergeCell ref="B96:B97"/>
    <mergeCell ref="I96:I97"/>
    <mergeCell ref="J96:J97"/>
    <mergeCell ref="K96:K97"/>
    <mergeCell ref="L96:L97"/>
    <mergeCell ref="N96:N97"/>
    <mergeCell ref="M92:M93"/>
    <mergeCell ref="I94:I95"/>
    <mergeCell ref="J94:J95"/>
    <mergeCell ref="K94:K95"/>
    <mergeCell ref="L94:L95"/>
    <mergeCell ref="D101:G101"/>
    <mergeCell ref="D102:G102"/>
    <mergeCell ref="L85:L86"/>
    <mergeCell ref="C97:D97"/>
    <mergeCell ref="L92:L93"/>
    <mergeCell ref="L87:L88"/>
    <mergeCell ref="M96:M97"/>
    <mergeCell ref="A98:B98"/>
    <mergeCell ref="C98:D98"/>
    <mergeCell ref="A94:A95"/>
    <mergeCell ref="B94:B95"/>
    <mergeCell ref="M94:M95"/>
    <mergeCell ref="O53:O58"/>
    <mergeCell ref="N83:N84"/>
    <mergeCell ref="M85:M86"/>
    <mergeCell ref="N85:N86"/>
    <mergeCell ref="A76:M76"/>
    <mergeCell ref="A85:A86"/>
    <mergeCell ref="A83:A84"/>
    <mergeCell ref="B83:B84"/>
    <mergeCell ref="I83:I84"/>
    <mergeCell ref="J83:J84"/>
    <mergeCell ref="B85:B86"/>
    <mergeCell ref="I85:I86"/>
    <mergeCell ref="J85:J86"/>
    <mergeCell ref="K85:K86"/>
    <mergeCell ref="C86:D86"/>
    <mergeCell ref="M83:M84"/>
    <mergeCell ref="K79:K80"/>
    <mergeCell ref="M81:M82"/>
    <mergeCell ref="L79:L80"/>
    <mergeCell ref="M79:M80"/>
    <mergeCell ref="K81:K82"/>
    <mergeCell ref="L81:L82"/>
    <mergeCell ref="K83:K84"/>
    <mergeCell ref="L83:L84"/>
    <mergeCell ref="N6:N13"/>
    <mergeCell ref="I21:I28"/>
    <mergeCell ref="N81:N82"/>
    <mergeCell ref="N79:N80"/>
    <mergeCell ref="J78:N78"/>
    <mergeCell ref="M29:M34"/>
    <mergeCell ref="N14:N16"/>
    <mergeCell ref="J79:J80"/>
    <mergeCell ref="J81:J82"/>
    <mergeCell ref="E79:I79"/>
    <mergeCell ref="L4:L5"/>
    <mergeCell ref="I6:I13"/>
    <mergeCell ref="J6:J13"/>
    <mergeCell ref="K6:K13"/>
    <mergeCell ref="L6:L13"/>
    <mergeCell ref="O4:O5"/>
    <mergeCell ref="O17:O18"/>
    <mergeCell ref="O29:O33"/>
    <mergeCell ref="O6:O13"/>
    <mergeCell ref="O21:O26"/>
    <mergeCell ref="O14:O16"/>
    <mergeCell ref="K45:K52"/>
    <mergeCell ref="O35:O41"/>
    <mergeCell ref="L14:L16"/>
    <mergeCell ref="L21:L28"/>
    <mergeCell ref="K21:K28"/>
    <mergeCell ref="M21:M28"/>
    <mergeCell ref="N21:N28"/>
    <mergeCell ref="N29:N34"/>
    <mergeCell ref="J29:J34"/>
    <mergeCell ref="O45:O52"/>
    <mergeCell ref="A45:A52"/>
    <mergeCell ref="C46:D52"/>
    <mergeCell ref="C36:D44"/>
    <mergeCell ref="A35:A44"/>
    <mergeCell ref="I45:I52"/>
    <mergeCell ref="A29:A34"/>
    <mergeCell ref="B29:B34"/>
    <mergeCell ref="C30:D34"/>
    <mergeCell ref="I29: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</dc:creator>
  <cp:keywords/>
  <dc:description/>
  <cp:lastModifiedBy>kordulova</cp:lastModifiedBy>
  <cp:lastPrinted>2011-09-02T08:24:34Z</cp:lastPrinted>
  <dcterms:created xsi:type="dcterms:W3CDTF">2009-04-28T07:17:27Z</dcterms:created>
  <dcterms:modified xsi:type="dcterms:W3CDTF">2011-09-08T06:32:07Z</dcterms:modified>
  <cp:category/>
  <cp:version/>
  <cp:contentType/>
  <cp:contentStatus/>
</cp:coreProperties>
</file>