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800" activeTab="0"/>
  </bookViews>
  <sheets>
    <sheet name="príloha 9a)" sheetId="1" r:id="rId1"/>
  </sheets>
  <definedNames>
    <definedName name="_xlnm.Print_Area" localSheetId="0">'príloha 9a)'!$A$1:$J$75</definedName>
  </definedNames>
  <calcPr fullCalcOnLoad="1"/>
</workbook>
</file>

<file path=xl/sharedStrings.xml><?xml version="1.0" encoding="utf-8"?>
<sst xmlns="http://schemas.openxmlformats.org/spreadsheetml/2006/main" count="138" uniqueCount="123">
  <si>
    <t>v mil. Sk</t>
  </si>
  <si>
    <t>Skutočnosť</t>
  </si>
  <si>
    <t>za rok</t>
  </si>
  <si>
    <t>na rok</t>
  </si>
  <si>
    <t>A.</t>
  </si>
  <si>
    <t>B.</t>
  </si>
  <si>
    <t>C.</t>
  </si>
  <si>
    <t>1.</t>
  </si>
  <si>
    <t>1.1</t>
  </si>
  <si>
    <t>1.2</t>
  </si>
  <si>
    <t>2.</t>
  </si>
  <si>
    <t>3.</t>
  </si>
  <si>
    <t>4.</t>
  </si>
  <si>
    <t>D.</t>
  </si>
  <si>
    <t>E.</t>
  </si>
  <si>
    <t>F.</t>
  </si>
  <si>
    <t>P r í j m y   celkom  (A.I + A.II)</t>
  </si>
  <si>
    <t>A.I</t>
  </si>
  <si>
    <t>P r í j m y   bežného  roka (1 až  4)</t>
  </si>
  <si>
    <t xml:space="preserve"> výber na  nemoc. poistenie</t>
  </si>
  <si>
    <t xml:space="preserve"> zo  ŠR  na nem. poistenie</t>
  </si>
  <si>
    <t>1.3</t>
  </si>
  <si>
    <t xml:space="preserve"> z NÚP  na nem. poistenie</t>
  </si>
  <si>
    <t xml:space="preserve"> výber na dôchod. zabezpečenie</t>
  </si>
  <si>
    <t xml:space="preserve"> zo  ŠR  na dôchod. zabezpečenie</t>
  </si>
  <si>
    <t xml:space="preserve"> z NÚP  na dôch. zabezpečenie</t>
  </si>
  <si>
    <t>Výpomoc zo ŠR</t>
  </si>
  <si>
    <t>§ 13, ods. 1 b/-prísp.na rast život.nákl.</t>
  </si>
  <si>
    <t>Ostatné príjmy (úroky..)</t>
  </si>
  <si>
    <t>A.II</t>
  </si>
  <si>
    <t>P r e v o d   z min. období</t>
  </si>
  <si>
    <t>Základný fond nemocenského poistenia   /ZFNP/</t>
  </si>
  <si>
    <t>Základný fond dôchodkového poistenia  /ZFDZ/</t>
  </si>
  <si>
    <t>Rezervný fond   /RF/</t>
  </si>
  <si>
    <t>Správny fond   /SF/,  v tom :</t>
  </si>
  <si>
    <t>S a l d o    b e ž n é ho   roka (A.I-C)</t>
  </si>
  <si>
    <t>Rozpočet Soc.p.</t>
  </si>
  <si>
    <t>a)</t>
  </si>
  <si>
    <t>b)</t>
  </si>
  <si>
    <t>c)</t>
  </si>
  <si>
    <t>d)</t>
  </si>
  <si>
    <t>e)</t>
  </si>
  <si>
    <t>f)</t>
  </si>
  <si>
    <t>bežné úhrady nedoplatkov na poistnom a zo sankcií vym. SP</t>
  </si>
  <si>
    <t>S P O L U   výber za ekon. aktívne osoby (a+ d)</t>
  </si>
  <si>
    <t>S P O L U   zo ŠR  (b+ e)</t>
  </si>
  <si>
    <t xml:space="preserve">S P O L U   z  NÚP  (c+ f) </t>
  </si>
  <si>
    <t>Plnenie</t>
  </si>
  <si>
    <t>%</t>
  </si>
  <si>
    <t>z toho : valorizácia dôchodkov</t>
  </si>
  <si>
    <t xml:space="preserve">Vládny rozpočet  </t>
  </si>
  <si>
    <t>5.</t>
  </si>
  <si>
    <t xml:space="preserve">  V ý d a v k y  celkom(1+2+3+4+5)</t>
  </si>
  <si>
    <t>3 086,5 mil.Sk</t>
  </si>
  <si>
    <t>bez val. dôch.</t>
  </si>
  <si>
    <t xml:space="preserve"> z privat.- oddlž.ŠZZ, ŽSR</t>
  </si>
  <si>
    <t>zo ZFNP</t>
  </si>
  <si>
    <t xml:space="preserve">2 814,1 mil.Sk  </t>
  </si>
  <si>
    <t xml:space="preserve">   272,4 mil.Sk</t>
  </si>
  <si>
    <t>Legenda :      presun do ZFDZ</t>
  </si>
  <si>
    <t>1.4</t>
  </si>
  <si>
    <t>ZFNP    po   presune fin. prostr. do ZFDZ</t>
  </si>
  <si>
    <t xml:space="preserve">ZFDZ   po   presune prostr. zo ZFNP  </t>
  </si>
  <si>
    <t xml:space="preserve">ZFDZ   po    presune prostr.  i  z  RF  </t>
  </si>
  <si>
    <t xml:space="preserve">Základný fond dôchodkového zabezpečenia /ZFDZ/ </t>
  </si>
  <si>
    <t>Základný fond nemocenského poistenia /ZFNP/</t>
  </si>
  <si>
    <t>Rezervný fond /RF/</t>
  </si>
  <si>
    <t>vrát.návrhu zvýš.dôch.</t>
  </si>
  <si>
    <t xml:space="preserve">o 5% od 1/7/2002  </t>
  </si>
  <si>
    <t>3 467,0 mil.Sk</t>
  </si>
  <si>
    <t xml:space="preserve">   471,0 mil.Sk </t>
  </si>
  <si>
    <t>3 938,0 mil.Sk</t>
  </si>
  <si>
    <t>uzn. NR SR č.1801/2001</t>
  </si>
  <si>
    <t>S a l d o    celkom   (A - C),  v  tom :</t>
  </si>
  <si>
    <t>-</t>
  </si>
  <si>
    <t xml:space="preserve"> Výber poistného celkom (1.1 + 1.2 + 1.3 + 1.4)</t>
  </si>
  <si>
    <t xml:space="preserve">                 Informatívne údaje :  výber poistného (1.1+1.2+1.3), v tom :</t>
  </si>
  <si>
    <t>neinvestičné náklady</t>
  </si>
  <si>
    <t>4/3</t>
  </si>
  <si>
    <t>0</t>
  </si>
  <si>
    <t>2 524,7 mil.Sk</t>
  </si>
  <si>
    <t xml:space="preserve">  Z á v ä z k y  SP  bez vnút. zúčt. (bez fin.pôž.ZFDZ...), z toho :</t>
  </si>
  <si>
    <t>3</t>
  </si>
  <si>
    <t>Zákl.fond poist.zodpovedn.za škodu /ZFPZŠ/</t>
  </si>
  <si>
    <t xml:space="preserve">  Z á v ä z k y   evid. SP (účt. stav k ...) z toho :</t>
  </si>
  <si>
    <t>n e p r e d p í s a n é</t>
  </si>
  <si>
    <t>p r e d p í s a n é,   v tom :</t>
  </si>
  <si>
    <t>pohľadávky na   p o i s t n o m</t>
  </si>
  <si>
    <t>pohľadávky na   s a n k c i a c h</t>
  </si>
  <si>
    <t>z vymáhania pohľadávok ( §33a  zák.č. 274/1994 Z.z. )</t>
  </si>
  <si>
    <t>2</t>
  </si>
  <si>
    <t>4/2</t>
  </si>
  <si>
    <t>P o h ľ a d á v k y    evid. SP (účt. stav k ...), z toho :</t>
  </si>
  <si>
    <t>vrát.schvál. val. dôch.</t>
  </si>
  <si>
    <t xml:space="preserve"> o 7 % od 1/10/2001 </t>
  </si>
  <si>
    <t>č i s t ý  výber poistného na NP a DZ (a - f)</t>
  </si>
  <si>
    <t xml:space="preserve"> z úhrad na dlžnom poistn. a zo sankcií  na NP a DZ :</t>
  </si>
  <si>
    <t>z poist.na poist.zodp.za škodu (od zamestnávateľa)</t>
  </si>
  <si>
    <t>Pohľadávky na NP a DZ (bez fiktívneho penále), v tom :</t>
  </si>
  <si>
    <t>investičné výdavky</t>
  </si>
  <si>
    <t xml:space="preserve">Základný fond poistenia zodpovednosti za škodu  </t>
  </si>
  <si>
    <t xml:space="preserve">RF po presune prostr. do ZFDZ,  vrátane zost. SF k 31.12. </t>
  </si>
  <si>
    <t>RF po presune prostr. do ZFDZ</t>
  </si>
  <si>
    <t>Správny fond  /SF/ k 31.12. prísl.r.</t>
  </si>
  <si>
    <t xml:space="preserve">Správny fond  /SF/ po presune zostatku do RF </t>
  </si>
  <si>
    <t xml:space="preserve">   900,0 mil.Sk </t>
  </si>
  <si>
    <t>5 260,0 mil.Sk</t>
  </si>
  <si>
    <t>4 360,0 mil.Sk</t>
  </si>
  <si>
    <t>od r. 1999 do r. 2002 :</t>
  </si>
  <si>
    <t>z toho : účelovo určené prostr.(reforma: jedn.výb.,pôž.SB, úraz.p., IIS SP)</t>
  </si>
  <si>
    <t>vrát. schvál. val. dôch.</t>
  </si>
  <si>
    <t>Index</t>
  </si>
  <si>
    <t>2002/2001</t>
  </si>
  <si>
    <t>Rozdiel</t>
  </si>
  <si>
    <t>4/1</t>
  </si>
  <si>
    <t>(4-1)</t>
  </si>
  <si>
    <t>Ministerstvo financií SR</t>
  </si>
  <si>
    <t>Vývoj systému povinného nemocenského poistenia a dôchodkového zabezpečenia,</t>
  </si>
  <si>
    <t xml:space="preserve">poistenia zodpovednosti zamestnávateľa za škodu pri pracovnom úraze a chorobe z povolania </t>
  </si>
  <si>
    <t xml:space="preserve">               -  k  ŠR a VšZP za r. 1993 a 1994</t>
  </si>
  <si>
    <t>z RF</t>
  </si>
  <si>
    <t>SPOLU</t>
  </si>
  <si>
    <t>Príloha č. 9a)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</si>
</sst>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_);\(#,##0\)"/>
    <numFmt numFmtId="167" formatCode="#,##0.000_);\(#,##0.000\)"/>
    <numFmt numFmtId="168" formatCode="0.0"/>
    <numFmt numFmtId="169" formatCode="0.000"/>
    <numFmt numFmtId="170" formatCode="0.0000"/>
    <numFmt numFmtId="171" formatCode="#,##0.00_);\(#,##0.00\)"/>
    <numFmt numFmtId="172" formatCode="#,##0.0"/>
  </numFmts>
  <fonts count="20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i/>
      <sz val="24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u val="single"/>
      <sz val="14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u val="single"/>
      <sz val="16"/>
      <name val="Arial CE"/>
      <family val="2"/>
    </font>
    <font>
      <i/>
      <sz val="16"/>
      <name val="Arial CE"/>
      <family val="2"/>
    </font>
    <font>
      <i/>
      <sz val="18"/>
      <name val="Arial CE"/>
      <family val="0"/>
    </font>
    <font>
      <b/>
      <u val="single"/>
      <sz val="16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i/>
      <sz val="22"/>
      <name val="Arial CE"/>
      <family val="0"/>
    </font>
    <font>
      <sz val="2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11" fillId="2" borderId="4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2" borderId="4" xfId="0" applyFont="1" applyFill="1" applyBorder="1" applyAlignment="1" applyProtection="1">
      <alignment/>
      <protection/>
    </xf>
    <xf numFmtId="49" fontId="10" fillId="2" borderId="2" xfId="0" applyNumberFormat="1" applyFont="1" applyFill="1" applyBorder="1" applyAlignment="1" applyProtection="1">
      <alignment horizontal="right"/>
      <protection/>
    </xf>
    <xf numFmtId="0" fontId="11" fillId="2" borderId="1" xfId="0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0" borderId="0" xfId="0" applyFont="1" applyAlignment="1">
      <alignment/>
    </xf>
    <xf numFmtId="0" fontId="12" fillId="2" borderId="0" xfId="0" applyFont="1" applyFill="1" applyAlignment="1">
      <alignment/>
    </xf>
    <xf numFmtId="49" fontId="9" fillId="2" borderId="2" xfId="0" applyNumberFormat="1" applyFont="1" applyFill="1" applyBorder="1" applyAlignment="1" applyProtection="1">
      <alignment horizontal="right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5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 horizontal="left" vertic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1" fillId="2" borderId="0" xfId="0" applyFont="1" applyFill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1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11" fillId="4" borderId="2" xfId="0" applyFont="1" applyFill="1" applyBorder="1" applyAlignment="1" applyProtection="1">
      <alignment horizontal="right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/>
      <protection/>
    </xf>
    <xf numFmtId="0" fontId="11" fillId="2" borderId="3" xfId="0" applyFont="1" applyFill="1" applyBorder="1" applyAlignment="1" applyProtection="1">
      <alignment horizontal="right"/>
      <protection/>
    </xf>
    <xf numFmtId="0" fontId="11" fillId="2" borderId="10" xfId="0" applyFont="1" applyFill="1" applyBorder="1" applyAlignment="1" applyProtection="1">
      <alignment/>
      <protection/>
    </xf>
    <xf numFmtId="0" fontId="14" fillId="2" borderId="0" xfId="0" applyFont="1" applyFill="1" applyAlignment="1">
      <alignment/>
    </xf>
    <xf numFmtId="0" fontId="11" fillId="2" borderId="2" xfId="0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9" fillId="2" borderId="2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left" vertical="center"/>
      <protection/>
    </xf>
    <xf numFmtId="0" fontId="11" fillId="2" borderId="3" xfId="0" applyFont="1" applyFill="1" applyBorder="1" applyAlignment="1" applyProtection="1">
      <alignment horizontal="lef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172" fontId="9" fillId="2" borderId="9" xfId="0" applyNumberFormat="1" applyFont="1" applyFill="1" applyBorder="1" applyAlignment="1" applyProtection="1">
      <alignment horizontal="right"/>
      <protection/>
    </xf>
    <xf numFmtId="172" fontId="16" fillId="0" borderId="0" xfId="0" applyNumberFormat="1" applyFont="1" applyAlignment="1">
      <alignment/>
    </xf>
    <xf numFmtId="0" fontId="11" fillId="2" borderId="0" xfId="0" applyFont="1" applyFill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2" borderId="11" xfId="0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8" fillId="2" borderId="0" xfId="0" applyFont="1" applyFill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 horizontal="left"/>
      <protection/>
    </xf>
    <xf numFmtId="172" fontId="11" fillId="2" borderId="6" xfId="0" applyNumberFormat="1" applyFont="1" applyFill="1" applyBorder="1" applyAlignment="1" applyProtection="1">
      <alignment/>
      <protection/>
    </xf>
    <xf numFmtId="172" fontId="9" fillId="2" borderId="6" xfId="0" applyNumberFormat="1" applyFont="1" applyFill="1" applyBorder="1" applyAlignment="1" applyProtection="1">
      <alignment/>
      <protection/>
    </xf>
    <xf numFmtId="172" fontId="9" fillId="2" borderId="1" xfId="0" applyNumberFormat="1" applyFont="1" applyFill="1" applyBorder="1" applyAlignment="1" applyProtection="1">
      <alignment/>
      <protection/>
    </xf>
    <xf numFmtId="172" fontId="11" fillId="2" borderId="4" xfId="0" applyNumberFormat="1" applyFont="1" applyFill="1" applyBorder="1" applyAlignment="1" applyProtection="1">
      <alignment/>
      <protection/>
    </xf>
    <xf numFmtId="172" fontId="9" fillId="2" borderId="4" xfId="0" applyNumberFormat="1" applyFont="1" applyFill="1" applyBorder="1" applyAlignment="1" applyProtection="1">
      <alignment/>
      <protection/>
    </xf>
    <xf numFmtId="172" fontId="9" fillId="2" borderId="4" xfId="0" applyNumberFormat="1" applyFont="1" applyFill="1" applyBorder="1" applyAlignment="1" applyProtection="1">
      <alignment/>
      <protection/>
    </xf>
    <xf numFmtId="172" fontId="9" fillId="2" borderId="12" xfId="0" applyNumberFormat="1" applyFont="1" applyFill="1" applyBorder="1" applyAlignment="1" applyProtection="1">
      <alignment/>
      <protection/>
    </xf>
    <xf numFmtId="172" fontId="9" fillId="2" borderId="2" xfId="0" applyNumberFormat="1" applyFont="1" applyFill="1" applyBorder="1" applyAlignment="1" applyProtection="1">
      <alignment/>
      <protection/>
    </xf>
    <xf numFmtId="172" fontId="9" fillId="4" borderId="4" xfId="0" applyNumberFormat="1" applyFont="1" applyFill="1" applyBorder="1" applyAlignment="1" applyProtection="1">
      <alignment/>
      <protection/>
    </xf>
    <xf numFmtId="172" fontId="11" fillId="4" borderId="4" xfId="0" applyNumberFormat="1" applyFont="1" applyFill="1" applyBorder="1" applyAlignment="1" applyProtection="1">
      <alignment/>
      <protection/>
    </xf>
    <xf numFmtId="172" fontId="11" fillId="4" borderId="4" xfId="0" applyNumberFormat="1" applyFont="1" applyFill="1" applyBorder="1" applyAlignment="1" applyProtection="1">
      <alignment/>
      <protection/>
    </xf>
    <xf numFmtId="172" fontId="11" fillId="2" borderId="5" xfId="0" applyNumberFormat="1" applyFont="1" applyFill="1" applyBorder="1" applyAlignment="1" applyProtection="1">
      <alignment/>
      <protection/>
    </xf>
    <xf numFmtId="172" fontId="9" fillId="2" borderId="5" xfId="0" applyNumberFormat="1" applyFont="1" applyFill="1" applyBorder="1" applyAlignment="1" applyProtection="1">
      <alignment/>
      <protection/>
    </xf>
    <xf numFmtId="172" fontId="9" fillId="2" borderId="9" xfId="0" applyNumberFormat="1" applyFont="1" applyFill="1" applyBorder="1" applyAlignment="1" applyProtection="1">
      <alignment/>
      <protection/>
    </xf>
    <xf numFmtId="172" fontId="11" fillId="2" borderId="4" xfId="0" applyNumberFormat="1" applyFont="1" applyFill="1" applyBorder="1" applyAlignment="1" applyProtection="1">
      <alignment/>
      <protection/>
    </xf>
    <xf numFmtId="172" fontId="11" fillId="2" borderId="2" xfId="0" applyNumberFormat="1" applyFont="1" applyFill="1" applyBorder="1" applyAlignment="1" applyProtection="1">
      <alignment/>
      <protection/>
    </xf>
    <xf numFmtId="172" fontId="9" fillId="2" borderId="2" xfId="0" applyNumberFormat="1" applyFont="1" applyFill="1" applyBorder="1" applyAlignment="1" applyProtection="1">
      <alignment/>
      <protection/>
    </xf>
    <xf numFmtId="172" fontId="9" fillId="2" borderId="4" xfId="0" applyNumberFormat="1" applyFont="1" applyFill="1" applyBorder="1" applyAlignment="1" applyProtection="1">
      <alignment horizontal="right"/>
      <protection/>
    </xf>
    <xf numFmtId="172" fontId="9" fillId="2" borderId="4" xfId="0" applyNumberFormat="1" applyFont="1" applyFill="1" applyBorder="1" applyAlignment="1" applyProtection="1">
      <alignment horizontal="center"/>
      <protection/>
    </xf>
    <xf numFmtId="172" fontId="9" fillId="2" borderId="10" xfId="0" applyNumberFormat="1" applyFont="1" applyFill="1" applyBorder="1" applyAlignment="1" applyProtection="1">
      <alignment/>
      <protection/>
    </xf>
    <xf numFmtId="172" fontId="11" fillId="2" borderId="10" xfId="0" applyNumberFormat="1" applyFont="1" applyFill="1" applyBorder="1" applyAlignment="1" applyProtection="1">
      <alignment/>
      <protection/>
    </xf>
    <xf numFmtId="172" fontId="11" fillId="2" borderId="10" xfId="0" applyNumberFormat="1" applyFont="1" applyFill="1" applyBorder="1" applyAlignment="1" applyProtection="1">
      <alignment/>
      <protection/>
    </xf>
    <xf numFmtId="172" fontId="9" fillId="2" borderId="10" xfId="0" applyNumberFormat="1" applyFont="1" applyFill="1" applyBorder="1" applyAlignment="1" applyProtection="1">
      <alignment/>
      <protection/>
    </xf>
    <xf numFmtId="172" fontId="9" fillId="2" borderId="5" xfId="0" applyNumberFormat="1" applyFont="1" applyFill="1" applyBorder="1" applyAlignment="1" applyProtection="1">
      <alignment horizontal="center"/>
      <protection/>
    </xf>
    <xf numFmtId="172" fontId="11" fillId="2" borderId="9" xfId="0" applyNumberFormat="1" applyFont="1" applyFill="1" applyBorder="1" applyAlignment="1" applyProtection="1">
      <alignment/>
      <protection/>
    </xf>
    <xf numFmtId="172" fontId="9" fillId="2" borderId="9" xfId="0" applyNumberFormat="1" applyFont="1" applyFill="1" applyBorder="1" applyAlignment="1" applyProtection="1">
      <alignment/>
      <protection/>
    </xf>
    <xf numFmtId="172" fontId="9" fillId="2" borderId="6" xfId="0" applyNumberFormat="1" applyFont="1" applyFill="1" applyBorder="1" applyAlignment="1" applyProtection="1">
      <alignment/>
      <protection/>
    </xf>
    <xf numFmtId="172" fontId="11" fillId="2" borderId="2" xfId="0" applyNumberFormat="1" applyFont="1" applyFill="1" applyBorder="1" applyAlignment="1" applyProtection="1">
      <alignment/>
      <protection/>
    </xf>
    <xf numFmtId="172" fontId="9" fillId="2" borderId="7" xfId="0" applyNumberFormat="1" applyFont="1" applyFill="1" applyBorder="1" applyAlignment="1" applyProtection="1">
      <alignment horizontal="right"/>
      <protection/>
    </xf>
    <xf numFmtId="172" fontId="11" fillId="2" borderId="7" xfId="0" applyNumberFormat="1" applyFont="1" applyFill="1" applyBorder="1" applyAlignment="1" applyProtection="1">
      <alignment/>
      <protection/>
    </xf>
    <xf numFmtId="172" fontId="9" fillId="2" borderId="7" xfId="0" applyNumberFormat="1" applyFont="1" applyFill="1" applyBorder="1" applyAlignment="1" applyProtection="1">
      <alignment/>
      <protection/>
    </xf>
    <xf numFmtId="172" fontId="9" fillId="2" borderId="7" xfId="0" applyNumberFormat="1" applyFont="1" applyFill="1" applyBorder="1" applyAlignment="1" applyProtection="1">
      <alignment horizontal="center"/>
      <protection/>
    </xf>
    <xf numFmtId="172" fontId="11" fillId="2" borderId="3" xfId="0" applyNumberFormat="1" applyFont="1" applyFill="1" applyBorder="1" applyAlignment="1" applyProtection="1">
      <alignment horizontal="right"/>
      <protection/>
    </xf>
    <xf numFmtId="172" fontId="11" fillId="2" borderId="3" xfId="0" applyNumberFormat="1" applyFont="1" applyFill="1" applyBorder="1" applyAlignment="1" applyProtection="1">
      <alignment/>
      <protection/>
    </xf>
    <xf numFmtId="172" fontId="9" fillId="2" borderId="0" xfId="0" applyNumberFormat="1" applyFont="1" applyFill="1" applyAlignment="1">
      <alignment horizontal="right"/>
    </xf>
    <xf numFmtId="172" fontId="12" fillId="2" borderId="0" xfId="0" applyNumberFormat="1" applyFont="1" applyFill="1" applyAlignment="1">
      <alignment horizontal="right"/>
    </xf>
    <xf numFmtId="0" fontId="19" fillId="2" borderId="0" xfId="0" applyFont="1" applyFill="1" applyBorder="1" applyAlignment="1" applyProtection="1">
      <alignment/>
      <protection/>
    </xf>
    <xf numFmtId="0" fontId="9" fillId="3" borderId="0" xfId="0" applyFont="1" applyFill="1" applyAlignment="1">
      <alignment/>
    </xf>
    <xf numFmtId="0" fontId="1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11" fillId="2" borderId="9" xfId="0" applyFont="1" applyFill="1" applyBorder="1" applyAlignment="1" applyProtection="1">
      <alignment/>
      <protection/>
    </xf>
    <xf numFmtId="165" fontId="11" fillId="2" borderId="9" xfId="0" applyNumberFormat="1" applyFont="1" applyFill="1" applyBorder="1" applyAlignment="1" applyProtection="1">
      <alignment/>
      <protection/>
    </xf>
    <xf numFmtId="165" fontId="9" fillId="2" borderId="9" xfId="0" applyNumberFormat="1" applyFont="1" applyFill="1" applyBorder="1" applyAlignment="1" applyProtection="1">
      <alignment/>
      <protection/>
    </xf>
    <xf numFmtId="165" fontId="9" fillId="2" borderId="9" xfId="0" applyNumberFormat="1" applyFont="1" applyFill="1" applyBorder="1" applyAlignment="1" applyProtection="1">
      <alignment horizontal="right"/>
      <protection/>
    </xf>
    <xf numFmtId="0" fontId="11" fillId="2" borderId="3" xfId="0" applyFont="1" applyFill="1" applyBorder="1" applyAlignment="1" applyProtection="1">
      <alignment/>
      <protection/>
    </xf>
    <xf numFmtId="0" fontId="13" fillId="2" borderId="4" xfId="0" applyFont="1" applyFill="1" applyBorder="1" applyAlignment="1" applyProtection="1">
      <alignment horizontal="right"/>
      <protection/>
    </xf>
    <xf numFmtId="172" fontId="13" fillId="2" borderId="12" xfId="0" applyNumberFormat="1" applyFont="1" applyFill="1" applyBorder="1" applyAlignment="1" applyProtection="1">
      <alignment/>
      <protection/>
    </xf>
    <xf numFmtId="0" fontId="13" fillId="4" borderId="4" xfId="0" applyFont="1" applyFill="1" applyBorder="1" applyAlignment="1" applyProtection="1">
      <alignment horizontal="left"/>
      <protection/>
    </xf>
    <xf numFmtId="172" fontId="13" fillId="4" borderId="4" xfId="0" applyNumberFormat="1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/>
      <protection/>
    </xf>
    <xf numFmtId="172" fontId="11" fillId="3" borderId="0" xfId="0" applyNumberFormat="1" applyFont="1" applyFill="1" applyAlignment="1">
      <alignment/>
    </xf>
    <xf numFmtId="0" fontId="11" fillId="3" borderId="0" xfId="0" applyFont="1" applyFill="1" applyAlignment="1">
      <alignment horizontal="right"/>
    </xf>
    <xf numFmtId="0" fontId="15" fillId="3" borderId="13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="50" zoomScaleNormal="50" workbookViewId="0" topLeftCell="D29">
      <selection activeCell="E53" sqref="E53"/>
    </sheetView>
  </sheetViews>
  <sheetFormatPr defaultColWidth="8.796875" defaultRowHeight="15"/>
  <cols>
    <col min="2" max="2" width="86.69921875" style="0" customWidth="1"/>
    <col min="3" max="3" width="30.59765625" style="0" customWidth="1"/>
    <col min="4" max="4" width="30.8984375" style="0" customWidth="1"/>
    <col min="5" max="6" width="30.796875" style="0" customWidth="1"/>
    <col min="7" max="7" width="12.796875" style="0" customWidth="1"/>
    <col min="8" max="8" width="12.69921875" style="0" customWidth="1"/>
    <col min="9" max="9" width="13.8984375" style="0" customWidth="1"/>
    <col min="10" max="10" width="14.69921875" style="0" customWidth="1"/>
  </cols>
  <sheetData>
    <row r="1" spans="1:10" ht="25.5">
      <c r="A1" s="120" t="s">
        <v>116</v>
      </c>
      <c r="B1" s="12"/>
      <c r="C1" s="45"/>
      <c r="D1" s="121"/>
      <c r="E1" s="45"/>
      <c r="F1" s="45"/>
      <c r="G1" s="45"/>
      <c r="H1" s="45"/>
      <c r="I1" s="45"/>
      <c r="J1" s="122" t="s">
        <v>122</v>
      </c>
    </row>
    <row r="2" spans="1:10" ht="23.25">
      <c r="A2" s="17"/>
      <c r="B2" s="12"/>
      <c r="C2" s="45"/>
      <c r="D2" s="121"/>
      <c r="E2" s="45"/>
      <c r="F2" s="45"/>
      <c r="G2" s="45"/>
      <c r="H2" s="45"/>
      <c r="I2" s="45"/>
      <c r="J2" s="45"/>
    </row>
    <row r="3" spans="1:10" ht="23.25">
      <c r="A3" s="17"/>
      <c r="B3" s="12"/>
      <c r="C3" s="45"/>
      <c r="D3" s="121"/>
      <c r="E3" s="45"/>
      <c r="F3" s="45"/>
      <c r="G3" s="45"/>
      <c r="H3" s="45"/>
      <c r="I3" s="45"/>
      <c r="J3" s="45"/>
    </row>
    <row r="4" spans="1:10" ht="23.25">
      <c r="A4" s="17"/>
      <c r="B4" s="12"/>
      <c r="C4" s="45"/>
      <c r="D4" s="121"/>
      <c r="E4" s="45"/>
      <c r="F4" s="45"/>
      <c r="G4" s="45"/>
      <c r="H4" s="45"/>
      <c r="I4" s="45"/>
      <c r="J4" s="45"/>
    </row>
    <row r="5" spans="1:10" ht="20.25">
      <c r="A5" s="45"/>
      <c r="B5" s="45"/>
      <c r="C5" s="45"/>
      <c r="D5" s="123"/>
      <c r="E5" s="123"/>
      <c r="F5" s="45"/>
      <c r="G5" s="45"/>
      <c r="H5" s="45"/>
      <c r="I5" s="45"/>
      <c r="J5" s="45"/>
    </row>
    <row r="6" spans="1:10" ht="27.75">
      <c r="A6" s="81" t="s">
        <v>117</v>
      </c>
      <c r="B6" s="3"/>
      <c r="C6" s="124"/>
      <c r="D6" s="125"/>
      <c r="E6" s="125"/>
      <c r="F6" s="45"/>
      <c r="G6" s="45"/>
      <c r="H6" s="45"/>
      <c r="I6" s="45"/>
      <c r="J6" s="45"/>
    </row>
    <row r="7" spans="1:10" ht="30">
      <c r="A7" s="2" t="s">
        <v>118</v>
      </c>
      <c r="B7" s="3"/>
      <c r="C7" s="124"/>
      <c r="D7" s="125"/>
      <c r="E7" s="125"/>
      <c r="F7" s="45"/>
      <c r="G7" s="45"/>
      <c r="H7" s="45"/>
      <c r="I7" s="45"/>
      <c r="J7" s="45"/>
    </row>
    <row r="8" spans="1:10" ht="30">
      <c r="A8" s="2"/>
      <c r="B8" s="3"/>
      <c r="C8" s="124"/>
      <c r="D8" s="125"/>
      <c r="E8" s="125"/>
      <c r="F8" s="45"/>
      <c r="G8" s="45"/>
      <c r="H8" s="45"/>
      <c r="I8" s="45"/>
      <c r="J8" s="45"/>
    </row>
    <row r="9" spans="1:10" ht="30">
      <c r="A9" s="2"/>
      <c r="B9" s="3"/>
      <c r="C9" s="124"/>
      <c r="D9" s="125"/>
      <c r="E9" s="125"/>
      <c r="F9" s="45"/>
      <c r="G9" s="45"/>
      <c r="H9" s="45"/>
      <c r="I9" s="45"/>
      <c r="J9" s="45"/>
    </row>
    <row r="10" spans="1:10" ht="30">
      <c r="A10" s="2"/>
      <c r="B10" s="3"/>
      <c r="C10" s="124"/>
      <c r="D10" s="125"/>
      <c r="E10" s="125"/>
      <c r="F10" s="45"/>
      <c r="G10" s="45"/>
      <c r="H10" s="45"/>
      <c r="I10" s="45"/>
      <c r="J10" s="45"/>
    </row>
    <row r="11" spans="1:10" ht="23.25">
      <c r="A11" s="56"/>
      <c r="B11" s="53"/>
      <c r="C11" s="43" t="s">
        <v>93</v>
      </c>
      <c r="D11" s="61" t="s">
        <v>67</v>
      </c>
      <c r="E11" s="63" t="s">
        <v>72</v>
      </c>
      <c r="F11" s="76" t="s">
        <v>110</v>
      </c>
      <c r="G11" s="45"/>
      <c r="H11" s="45"/>
      <c r="I11" s="45"/>
      <c r="J11" s="45"/>
    </row>
    <row r="12" spans="1:10" ht="21" thickBot="1">
      <c r="A12" s="1"/>
      <c r="B12" s="1"/>
      <c r="C12" s="44" t="s">
        <v>94</v>
      </c>
      <c r="D12" s="62" t="s">
        <v>68</v>
      </c>
      <c r="E12" s="61" t="s">
        <v>54</v>
      </c>
      <c r="F12" s="62" t="s">
        <v>68</v>
      </c>
      <c r="G12" s="45"/>
      <c r="H12" s="45"/>
      <c r="I12" s="45"/>
      <c r="J12" s="126" t="s">
        <v>0</v>
      </c>
    </row>
    <row r="13" spans="1:10" ht="20.25">
      <c r="A13" s="8"/>
      <c r="B13" s="4"/>
      <c r="C13" s="21" t="s">
        <v>1</v>
      </c>
      <c r="D13" s="21" t="s">
        <v>50</v>
      </c>
      <c r="E13" s="21" t="s">
        <v>36</v>
      </c>
      <c r="F13" s="21" t="s">
        <v>1</v>
      </c>
      <c r="G13" s="39" t="s">
        <v>47</v>
      </c>
      <c r="H13" s="39" t="s">
        <v>47</v>
      </c>
      <c r="I13" s="39" t="s">
        <v>111</v>
      </c>
      <c r="J13" s="39" t="s">
        <v>113</v>
      </c>
    </row>
    <row r="14" spans="1:10" ht="20.25">
      <c r="A14" s="6"/>
      <c r="B14" s="5"/>
      <c r="C14" s="23" t="s">
        <v>2</v>
      </c>
      <c r="D14" s="13" t="s">
        <v>3</v>
      </c>
      <c r="E14" s="13" t="s">
        <v>3</v>
      </c>
      <c r="F14" s="23" t="s">
        <v>2</v>
      </c>
      <c r="G14" s="23" t="s">
        <v>48</v>
      </c>
      <c r="H14" s="23" t="s">
        <v>48</v>
      </c>
      <c r="I14" s="80" t="s">
        <v>112</v>
      </c>
      <c r="J14" s="23"/>
    </row>
    <row r="15" spans="1:10" ht="21" thickBot="1">
      <c r="A15" s="6"/>
      <c r="B15" s="5"/>
      <c r="C15" s="24">
        <v>2001</v>
      </c>
      <c r="D15" s="22">
        <v>2002</v>
      </c>
      <c r="E15" s="22">
        <v>2002</v>
      </c>
      <c r="F15" s="24">
        <v>2002</v>
      </c>
      <c r="G15" s="24"/>
      <c r="H15" s="24"/>
      <c r="I15" s="24"/>
      <c r="J15" s="24"/>
    </row>
    <row r="16" spans="1:10" ht="21" thickBot="1">
      <c r="A16" s="7"/>
      <c r="B16" s="5"/>
      <c r="C16" s="74">
        <v>1</v>
      </c>
      <c r="D16" s="75" t="s">
        <v>90</v>
      </c>
      <c r="E16" s="75" t="s">
        <v>82</v>
      </c>
      <c r="F16" s="74">
        <v>4</v>
      </c>
      <c r="G16" s="75" t="s">
        <v>91</v>
      </c>
      <c r="H16" s="75" t="s">
        <v>78</v>
      </c>
      <c r="I16" s="75" t="s">
        <v>114</v>
      </c>
      <c r="J16" s="75" t="s">
        <v>115</v>
      </c>
    </row>
    <row r="17" spans="1:10" ht="20.25">
      <c r="A17" s="13" t="s">
        <v>4</v>
      </c>
      <c r="B17" s="127" t="s">
        <v>16</v>
      </c>
      <c r="C17" s="128">
        <f>SUM(C18+C39)</f>
        <v>88892.39399999999</v>
      </c>
      <c r="D17" s="128">
        <f>SUM(D18+D39)</f>
        <v>94606.16179999999</v>
      </c>
      <c r="E17" s="128">
        <f>SUM(E18+E39)</f>
        <v>95240.773</v>
      </c>
      <c r="F17" s="128">
        <f>SUM(F18+F39)</f>
        <v>96856.819</v>
      </c>
      <c r="G17" s="129">
        <f aca="true" t="shared" si="0" ref="G17:G29">SUM(F17/D17*100)</f>
        <v>102.3789752772742</v>
      </c>
      <c r="H17" s="129">
        <f aca="true" t="shared" si="1" ref="H17:H29">SUM(F17/E17*100)</f>
        <v>101.69680059190615</v>
      </c>
      <c r="I17" s="129">
        <f>SUM(F17/C17*100)</f>
        <v>108.95962482459412</v>
      </c>
      <c r="J17" s="130">
        <f>SUM(F17-C17)</f>
        <v>7964.4250000000175</v>
      </c>
    </row>
    <row r="18" spans="1:10" ht="21" thickBot="1">
      <c r="A18" s="22" t="s">
        <v>17</v>
      </c>
      <c r="B18" s="131" t="s">
        <v>18</v>
      </c>
      <c r="C18" s="117">
        <f>SUM(C19+C36+C37+C38)</f>
        <v>84740.49399999999</v>
      </c>
      <c r="D18" s="117">
        <f>SUM(D19+D36+D37+D38)</f>
        <v>91888.96179999999</v>
      </c>
      <c r="E18" s="117">
        <f>SUM(E19+E36+E37+E38)</f>
        <v>91813.473</v>
      </c>
      <c r="F18" s="117">
        <f>SUM(F19+F38)</f>
        <v>91921.436</v>
      </c>
      <c r="G18" s="106">
        <f t="shared" si="0"/>
        <v>100.03534069747214</v>
      </c>
      <c r="H18" s="106">
        <f t="shared" si="1"/>
        <v>100.11758949582487</v>
      </c>
      <c r="I18" s="85">
        <f>SUM(F18/C18*100)</f>
        <v>108.47403839774643</v>
      </c>
      <c r="J18" s="85">
        <f>SUM(F18-C18)</f>
        <v>7180.94200000001</v>
      </c>
    </row>
    <row r="19" spans="1:10" ht="20.25">
      <c r="A19" s="13" t="s">
        <v>7</v>
      </c>
      <c r="B19" s="14" t="s">
        <v>75</v>
      </c>
      <c r="C19" s="84">
        <f>SUM(C20+C27)</f>
        <v>84377.764</v>
      </c>
      <c r="D19" s="84">
        <f>SUM(D20+D27+D35)</f>
        <v>91388.96179999999</v>
      </c>
      <c r="E19" s="84">
        <f>SUM(E20+E27+E35)</f>
        <v>91463.473</v>
      </c>
      <c r="F19" s="84">
        <f>SUM(F20+F27+F35)</f>
        <v>91558.272</v>
      </c>
      <c r="G19" s="85">
        <f t="shared" si="0"/>
        <v>100.1852632929243</v>
      </c>
      <c r="H19" s="85">
        <f t="shared" si="1"/>
        <v>100.10364684052617</v>
      </c>
      <c r="I19" s="86">
        <f>SUM(F19/C19*100)</f>
        <v>108.50995293025305</v>
      </c>
      <c r="J19" s="86">
        <f>SUM(F19-C19)</f>
        <v>7180.508000000002</v>
      </c>
    </row>
    <row r="20" spans="1:10" ht="23.25">
      <c r="A20" s="20" t="s">
        <v>8</v>
      </c>
      <c r="B20" s="19" t="s">
        <v>95</v>
      </c>
      <c r="C20" s="87">
        <f>SUM(C21:C26)</f>
        <v>79260.46399999999</v>
      </c>
      <c r="D20" s="87">
        <f>SUM(D21:D26)-0.1</f>
        <v>83833.96179999999</v>
      </c>
      <c r="E20" s="87">
        <f>SUM(E21:E26)</f>
        <v>85147.269</v>
      </c>
      <c r="F20" s="87">
        <f>SUM(F21:F26)</f>
        <v>87431.19099999999</v>
      </c>
      <c r="G20" s="88">
        <f t="shared" si="0"/>
        <v>104.29089729599299</v>
      </c>
      <c r="H20" s="88">
        <f t="shared" si="1"/>
        <v>102.68231973476448</v>
      </c>
      <c r="I20" s="88">
        <f aca="true" t="shared" si="2" ref="I20:I39">SUM(F20/C20*100)</f>
        <v>110.30870447591627</v>
      </c>
      <c r="J20" s="88">
        <f aca="true" t="shared" si="3" ref="J20:J39">SUM(F20-C20)</f>
        <v>8170.726999999999</v>
      </c>
    </row>
    <row r="21" spans="1:10" ht="20.25">
      <c r="A21" s="25" t="s">
        <v>37</v>
      </c>
      <c r="B21" s="15" t="s">
        <v>19</v>
      </c>
      <c r="C21" s="89">
        <v>10796.519</v>
      </c>
      <c r="D21" s="89">
        <v>10959.6</v>
      </c>
      <c r="E21" s="89">
        <f>12956.665-625.086-28-E22-E23</f>
        <v>11168.841000000002</v>
      </c>
      <c r="F21" s="89">
        <v>11674.01</v>
      </c>
      <c r="G21" s="88">
        <f t="shared" si="0"/>
        <v>106.51857732034016</v>
      </c>
      <c r="H21" s="88">
        <f t="shared" si="1"/>
        <v>104.5230207861317</v>
      </c>
      <c r="I21" s="88">
        <f t="shared" si="2"/>
        <v>108.12753629202152</v>
      </c>
      <c r="J21" s="88">
        <f t="shared" si="3"/>
        <v>877.491</v>
      </c>
    </row>
    <row r="22" spans="1:10" ht="20.25">
      <c r="A22" s="25" t="s">
        <v>38</v>
      </c>
      <c r="B22" s="15" t="s">
        <v>20</v>
      </c>
      <c r="C22" s="89">
        <v>1036.488</v>
      </c>
      <c r="D22" s="89">
        <v>971.441</v>
      </c>
      <c r="E22" s="89">
        <v>971.442</v>
      </c>
      <c r="F22" s="89">
        <v>1034.56</v>
      </c>
      <c r="G22" s="88">
        <f t="shared" si="0"/>
        <v>106.49746098836677</v>
      </c>
      <c r="H22" s="88">
        <f t="shared" si="1"/>
        <v>106.49735136014296</v>
      </c>
      <c r="I22" s="88">
        <f t="shared" si="2"/>
        <v>99.81398723381263</v>
      </c>
      <c r="J22" s="88">
        <f t="shared" si="3"/>
        <v>-1.928000000000111</v>
      </c>
    </row>
    <row r="23" spans="1:10" ht="20.25">
      <c r="A23" s="25" t="s">
        <v>39</v>
      </c>
      <c r="B23" s="15" t="s">
        <v>22</v>
      </c>
      <c r="C23" s="89">
        <v>136.739</v>
      </c>
      <c r="D23" s="89">
        <v>163.8</v>
      </c>
      <c r="E23" s="89">
        <v>163.296</v>
      </c>
      <c r="F23" s="89">
        <v>136.728</v>
      </c>
      <c r="G23" s="88">
        <f t="shared" si="0"/>
        <v>83.47252747252747</v>
      </c>
      <c r="H23" s="88">
        <f t="shared" si="1"/>
        <v>83.73015873015875</v>
      </c>
      <c r="I23" s="88">
        <f t="shared" si="2"/>
        <v>99.99195547722304</v>
      </c>
      <c r="J23" s="88">
        <f t="shared" si="3"/>
        <v>-0.01099999999999568</v>
      </c>
    </row>
    <row r="24" spans="1:10" ht="20.25">
      <c r="A24" s="25" t="s">
        <v>40</v>
      </c>
      <c r="B24" s="15" t="s">
        <v>23</v>
      </c>
      <c r="C24" s="89">
        <v>62807.28</v>
      </c>
      <c r="D24" s="89">
        <v>64063.2</v>
      </c>
      <c r="E24" s="89">
        <f>77868.604-4854.914-170-E25-E26</f>
        <v>65167.70920000001</v>
      </c>
      <c r="F24" s="89">
        <v>67440.901</v>
      </c>
      <c r="G24" s="88">
        <f t="shared" si="0"/>
        <v>105.27245126687397</v>
      </c>
      <c r="H24" s="88">
        <f t="shared" si="1"/>
        <v>103.48821805754065</v>
      </c>
      <c r="I24" s="88">
        <f t="shared" si="2"/>
        <v>107.37752215985152</v>
      </c>
      <c r="J24" s="88">
        <f t="shared" si="3"/>
        <v>4633.620999999999</v>
      </c>
    </row>
    <row r="25" spans="1:10" ht="20.25">
      <c r="A25" s="25" t="s">
        <v>41</v>
      </c>
      <c r="B25" s="15" t="s">
        <v>24</v>
      </c>
      <c r="C25" s="89">
        <v>3681.726</v>
      </c>
      <c r="D25" s="89">
        <v>6723.4208</v>
      </c>
      <c r="E25" s="89">
        <v>6723.4208</v>
      </c>
      <c r="F25" s="89">
        <v>6347.633</v>
      </c>
      <c r="G25" s="88">
        <f t="shared" si="0"/>
        <v>94.41076482971287</v>
      </c>
      <c r="H25" s="88">
        <f t="shared" si="1"/>
        <v>94.41076482971287</v>
      </c>
      <c r="I25" s="88">
        <f t="shared" si="2"/>
        <v>172.40916352819303</v>
      </c>
      <c r="J25" s="88">
        <f t="shared" si="3"/>
        <v>2665.9069999999997</v>
      </c>
    </row>
    <row r="26" spans="1:10" ht="20.25">
      <c r="A26" s="25" t="s">
        <v>42</v>
      </c>
      <c r="B26" s="15" t="s">
        <v>25</v>
      </c>
      <c r="C26" s="89">
        <v>801.712</v>
      </c>
      <c r="D26" s="89">
        <v>952.6</v>
      </c>
      <c r="E26" s="89">
        <v>952.56</v>
      </c>
      <c r="F26" s="89">
        <v>797.359</v>
      </c>
      <c r="G26" s="88">
        <f t="shared" si="0"/>
        <v>83.70344320806214</v>
      </c>
      <c r="H26" s="88">
        <f t="shared" si="1"/>
        <v>83.70695809187873</v>
      </c>
      <c r="I26" s="88">
        <f t="shared" si="2"/>
        <v>99.45703694094638</v>
      </c>
      <c r="J26" s="88">
        <f t="shared" si="3"/>
        <v>-4.352999999999952</v>
      </c>
    </row>
    <row r="27" spans="1:10" ht="23.25">
      <c r="A27" s="20" t="s">
        <v>9</v>
      </c>
      <c r="B27" s="19" t="s">
        <v>96</v>
      </c>
      <c r="C27" s="87">
        <v>5117.3</v>
      </c>
      <c r="D27" s="87">
        <v>6700</v>
      </c>
      <c r="E27" s="87">
        <f>5480+198</f>
        <v>5678</v>
      </c>
      <c r="F27" s="87">
        <f>706.915+2889.699</f>
        <v>3596.614</v>
      </c>
      <c r="G27" s="88">
        <f t="shared" si="0"/>
        <v>53.68080597014926</v>
      </c>
      <c r="H27" s="88">
        <f t="shared" si="1"/>
        <v>63.34297287777386</v>
      </c>
      <c r="I27" s="88">
        <f t="shared" si="2"/>
        <v>70.28343071541633</v>
      </c>
      <c r="J27" s="88">
        <f t="shared" si="3"/>
        <v>-1520.6860000000001</v>
      </c>
    </row>
    <row r="28" spans="1:10" ht="20.25">
      <c r="A28" s="30" t="s">
        <v>37</v>
      </c>
      <c r="B28" s="15" t="s">
        <v>43</v>
      </c>
      <c r="C28" s="90">
        <f>C27-C29</f>
        <v>2456.8320000000003</v>
      </c>
      <c r="D28" s="90">
        <v>4000</v>
      </c>
      <c r="E28" s="90">
        <v>2978</v>
      </c>
      <c r="F28" s="90">
        <f>SUM(F27-F29)</f>
        <v>2551.942</v>
      </c>
      <c r="G28" s="88">
        <f t="shared" si="0"/>
        <v>63.79855</v>
      </c>
      <c r="H28" s="88">
        <f t="shared" si="1"/>
        <v>85.69314976494292</v>
      </c>
      <c r="I28" s="88">
        <f t="shared" si="2"/>
        <v>103.87124557153275</v>
      </c>
      <c r="J28" s="88">
        <f t="shared" si="3"/>
        <v>95.10999999999967</v>
      </c>
    </row>
    <row r="29" spans="1:10" ht="20.25">
      <c r="A29" s="30" t="s">
        <v>38</v>
      </c>
      <c r="B29" s="15" t="s">
        <v>55</v>
      </c>
      <c r="C29" s="89">
        <v>2660.468</v>
      </c>
      <c r="D29" s="89">
        <v>2700</v>
      </c>
      <c r="E29" s="89">
        <v>2700</v>
      </c>
      <c r="F29" s="89">
        <v>1044.672</v>
      </c>
      <c r="G29" s="88">
        <f t="shared" si="0"/>
        <v>38.69155555555556</v>
      </c>
      <c r="H29" s="88">
        <f t="shared" si="1"/>
        <v>38.69155555555556</v>
      </c>
      <c r="I29" s="88">
        <f t="shared" si="2"/>
        <v>39.26647492095376</v>
      </c>
      <c r="J29" s="88">
        <f t="shared" si="3"/>
        <v>-1615.7959999999998</v>
      </c>
    </row>
    <row r="30" spans="1:10" ht="23.25">
      <c r="A30" s="20" t="s">
        <v>21</v>
      </c>
      <c r="B30" s="14" t="s">
        <v>89</v>
      </c>
      <c r="C30" s="87">
        <v>0</v>
      </c>
      <c r="D30" s="87">
        <v>0</v>
      </c>
      <c r="E30" s="87">
        <v>0</v>
      </c>
      <c r="F30" s="88">
        <v>0</v>
      </c>
      <c r="G30" s="88"/>
      <c r="H30" s="88"/>
      <c r="I30" s="91"/>
      <c r="J30" s="91">
        <v>0</v>
      </c>
    </row>
    <row r="31" spans="1:10" ht="23.25">
      <c r="A31" s="20"/>
      <c r="B31" s="132" t="s">
        <v>76</v>
      </c>
      <c r="C31" s="133">
        <f>SUM(C32:C34)</f>
        <v>79260.464</v>
      </c>
      <c r="D31" s="133">
        <f>SUM(D32:D34)</f>
        <v>83834.0618</v>
      </c>
      <c r="E31" s="133">
        <f>SUM(E32:E34)</f>
        <v>85147.26900000001</v>
      </c>
      <c r="F31" s="133">
        <f>SUM(F32:F34)</f>
        <v>87431.19099999999</v>
      </c>
      <c r="G31" s="88">
        <f>SUM(F31/D31*100)</f>
        <v>104.29077289441318</v>
      </c>
      <c r="H31" s="88">
        <f>SUM(F31/E31*100)</f>
        <v>102.68231973476445</v>
      </c>
      <c r="I31" s="88">
        <f t="shared" si="2"/>
        <v>110.30870447591626</v>
      </c>
      <c r="J31" s="88">
        <f t="shared" si="3"/>
        <v>8170.726999999984</v>
      </c>
    </row>
    <row r="32" spans="1:10" ht="20.25">
      <c r="A32" s="48"/>
      <c r="B32" s="134" t="s">
        <v>44</v>
      </c>
      <c r="C32" s="135">
        <f>SUM(C21+C24)</f>
        <v>73603.799</v>
      </c>
      <c r="D32" s="135">
        <f aca="true" t="shared" si="4" ref="D32:E34">SUM(D21+D24)</f>
        <v>75022.8</v>
      </c>
      <c r="E32" s="135">
        <f t="shared" si="4"/>
        <v>76336.55020000001</v>
      </c>
      <c r="F32" s="135">
        <f>SUM(F21+F24)</f>
        <v>79114.911</v>
      </c>
      <c r="G32" s="88">
        <f>SUM(F32/D32*100)</f>
        <v>105.45448983509011</v>
      </c>
      <c r="H32" s="88">
        <f>SUM(F32/E32*100)</f>
        <v>103.63962059160485</v>
      </c>
      <c r="I32" s="88">
        <f t="shared" si="2"/>
        <v>107.48753742996335</v>
      </c>
      <c r="J32" s="88">
        <f t="shared" si="3"/>
        <v>5511.111999999994</v>
      </c>
    </row>
    <row r="33" spans="1:10" ht="20.25">
      <c r="A33" s="48"/>
      <c r="B33" s="134" t="s">
        <v>45</v>
      </c>
      <c r="C33" s="135">
        <f>SUM(C22+C25)</f>
        <v>4718.214</v>
      </c>
      <c r="D33" s="135">
        <f t="shared" si="4"/>
        <v>7694.8618</v>
      </c>
      <c r="E33" s="135">
        <f t="shared" si="4"/>
        <v>7694.8628</v>
      </c>
      <c r="F33" s="135">
        <f>SUM(F22+F25)</f>
        <v>7382.192999999999</v>
      </c>
      <c r="G33" s="88">
        <f>SUM(F33/D33*100)</f>
        <v>95.9366547687705</v>
      </c>
      <c r="H33" s="88">
        <f>SUM(F33/E33*100)</f>
        <v>95.93664230114668</v>
      </c>
      <c r="I33" s="88">
        <f t="shared" si="2"/>
        <v>156.4615975451728</v>
      </c>
      <c r="J33" s="88">
        <f t="shared" si="3"/>
        <v>2663.9789999999994</v>
      </c>
    </row>
    <row r="34" spans="1:10" ht="20.25">
      <c r="A34" s="48"/>
      <c r="B34" s="134" t="s">
        <v>46</v>
      </c>
      <c r="C34" s="135">
        <f>SUM(C23+C26)</f>
        <v>938.451</v>
      </c>
      <c r="D34" s="135">
        <f t="shared" si="4"/>
        <v>1116.4</v>
      </c>
      <c r="E34" s="135">
        <f t="shared" si="4"/>
        <v>1115.856</v>
      </c>
      <c r="F34" s="135">
        <f>SUM(F23+F26)</f>
        <v>934.087</v>
      </c>
      <c r="G34" s="88">
        <f>SUM(F34/D34*100)</f>
        <v>83.66956288068792</v>
      </c>
      <c r="H34" s="88">
        <f>SUM(F34/E34*100)</f>
        <v>83.71035330723677</v>
      </c>
      <c r="I34" s="88">
        <f t="shared" si="2"/>
        <v>99.53497838459333</v>
      </c>
      <c r="J34" s="88">
        <f t="shared" si="3"/>
        <v>-4.364000000000033</v>
      </c>
    </row>
    <row r="35" spans="1:10" ht="23.25">
      <c r="A35" s="20" t="s">
        <v>60</v>
      </c>
      <c r="B35" s="19" t="s">
        <v>97</v>
      </c>
      <c r="C35" s="92">
        <v>0</v>
      </c>
      <c r="D35" s="93">
        <v>855</v>
      </c>
      <c r="E35" s="93">
        <v>638.204</v>
      </c>
      <c r="F35" s="94">
        <v>530.467</v>
      </c>
      <c r="G35" s="88">
        <f>SUM(F35/D35*100)</f>
        <v>62.042923976608186</v>
      </c>
      <c r="H35" s="88">
        <f>SUM(F35/E35*100)</f>
        <v>83.1187206598517</v>
      </c>
      <c r="I35" s="88"/>
      <c r="J35" s="88">
        <f t="shared" si="3"/>
        <v>530.467</v>
      </c>
    </row>
    <row r="36" spans="1:10" ht="20.25">
      <c r="A36" s="31" t="s">
        <v>10</v>
      </c>
      <c r="B36" s="15" t="s">
        <v>26</v>
      </c>
      <c r="C36" s="89"/>
      <c r="D36" s="89"/>
      <c r="E36" s="89"/>
      <c r="F36" s="89"/>
      <c r="G36" s="88"/>
      <c r="H36" s="88"/>
      <c r="I36" s="88"/>
      <c r="J36" s="88"/>
    </row>
    <row r="37" spans="1:10" ht="20.25">
      <c r="A37" s="31" t="s">
        <v>11</v>
      </c>
      <c r="B37" s="15" t="s">
        <v>27</v>
      </c>
      <c r="C37" s="89"/>
      <c r="D37" s="89"/>
      <c r="E37" s="89"/>
      <c r="F37" s="89"/>
      <c r="G37" s="88"/>
      <c r="H37" s="88"/>
      <c r="I37" s="88"/>
      <c r="J37" s="88"/>
    </row>
    <row r="38" spans="1:10" ht="21" thickBot="1">
      <c r="A38" s="13" t="s">
        <v>12</v>
      </c>
      <c r="B38" s="36" t="s">
        <v>28</v>
      </c>
      <c r="C38" s="95">
        <v>362.73</v>
      </c>
      <c r="D38" s="95">
        <v>500</v>
      </c>
      <c r="E38" s="95">
        <v>350</v>
      </c>
      <c r="F38" s="95">
        <v>363.164</v>
      </c>
      <c r="G38" s="96">
        <f>SUM(F38/D38*100)</f>
        <v>72.6328</v>
      </c>
      <c r="H38" s="96">
        <f>SUM(F38/E38*100)</f>
        <v>103.76114285714286</v>
      </c>
      <c r="I38" s="85">
        <f t="shared" si="2"/>
        <v>100.1196482231963</v>
      </c>
      <c r="J38" s="85">
        <f t="shared" si="3"/>
        <v>0.4339999999999691</v>
      </c>
    </row>
    <row r="39" spans="1:10" ht="21" thickBot="1">
      <c r="A39" s="136" t="s">
        <v>29</v>
      </c>
      <c r="B39" s="137" t="s">
        <v>30</v>
      </c>
      <c r="C39" s="113">
        <v>4151.9</v>
      </c>
      <c r="D39" s="113">
        <v>2717.2</v>
      </c>
      <c r="E39" s="113">
        <v>3427.3</v>
      </c>
      <c r="F39" s="113">
        <v>4935.383</v>
      </c>
      <c r="G39" s="114">
        <f>SUM(F39/D39*100)</f>
        <v>181.63488149565728</v>
      </c>
      <c r="H39" s="114">
        <f>SUM(F39/E39*100)</f>
        <v>144.00207160155222</v>
      </c>
      <c r="I39" s="114">
        <f t="shared" si="2"/>
        <v>118.87046894193021</v>
      </c>
      <c r="J39" s="114">
        <f t="shared" si="3"/>
        <v>783.4830000000002</v>
      </c>
    </row>
    <row r="40" spans="1:10" ht="20.25">
      <c r="A40" s="39"/>
      <c r="B40" s="50" t="s">
        <v>92</v>
      </c>
      <c r="C40" s="97">
        <v>62203.955</v>
      </c>
      <c r="D40" s="97"/>
      <c r="E40" s="97"/>
      <c r="F40" s="97">
        <v>59118</v>
      </c>
      <c r="G40" s="88"/>
      <c r="H40" s="88"/>
      <c r="I40" s="85">
        <f aca="true" t="shared" si="5" ref="I40:I45">SUM(F40/C40*100)</f>
        <v>95.03897300420849</v>
      </c>
      <c r="J40" s="85">
        <f aca="true" t="shared" si="6" ref="J40:J45">SUM(F40-C40)</f>
        <v>-3085.9550000000017</v>
      </c>
    </row>
    <row r="41" spans="1:10" ht="20.25">
      <c r="A41" s="54" t="s">
        <v>5</v>
      </c>
      <c r="B41" s="82" t="s">
        <v>98</v>
      </c>
      <c r="C41" s="98">
        <v>50815.264</v>
      </c>
      <c r="D41" s="87">
        <v>0</v>
      </c>
      <c r="E41" s="87">
        <v>0</v>
      </c>
      <c r="F41" s="98">
        <v>53986.619</v>
      </c>
      <c r="G41" s="88"/>
      <c r="H41" s="88"/>
      <c r="I41" s="88">
        <f t="shared" si="5"/>
        <v>106.24094956979854</v>
      </c>
      <c r="J41" s="88">
        <f t="shared" si="6"/>
        <v>3171.354999999996</v>
      </c>
    </row>
    <row r="42" spans="1:10" ht="20.25">
      <c r="A42" s="54"/>
      <c r="B42" s="83" t="s">
        <v>85</v>
      </c>
      <c r="C42" s="88">
        <v>4877.675</v>
      </c>
      <c r="D42" s="89"/>
      <c r="E42" s="89"/>
      <c r="F42" s="88">
        <v>5109.663</v>
      </c>
      <c r="G42" s="88"/>
      <c r="H42" s="88"/>
      <c r="I42" s="88">
        <f t="shared" si="5"/>
        <v>104.75611843757527</v>
      </c>
      <c r="J42" s="88">
        <f t="shared" si="6"/>
        <v>231.98799999999937</v>
      </c>
    </row>
    <row r="43" spans="1:10" ht="20.25">
      <c r="A43" s="54"/>
      <c r="B43" s="35" t="s">
        <v>86</v>
      </c>
      <c r="C43" s="98">
        <f>SUM(C44+C45)</f>
        <v>45937.589</v>
      </c>
      <c r="D43" s="89"/>
      <c r="E43" s="89"/>
      <c r="F43" s="98">
        <f>SUM(F44+F45)</f>
        <v>48876.956000000006</v>
      </c>
      <c r="G43" s="88"/>
      <c r="H43" s="88"/>
      <c r="I43" s="88">
        <f t="shared" si="5"/>
        <v>106.39860964405426</v>
      </c>
      <c r="J43" s="88">
        <f t="shared" si="6"/>
        <v>2939.3670000000056</v>
      </c>
    </row>
    <row r="44" spans="1:10" ht="20.25">
      <c r="A44" s="54"/>
      <c r="B44" s="16" t="s">
        <v>87</v>
      </c>
      <c r="C44" s="98">
        <v>18106.697</v>
      </c>
      <c r="D44" s="89"/>
      <c r="E44" s="89"/>
      <c r="F44" s="98">
        <v>21020.488</v>
      </c>
      <c r="G44" s="88"/>
      <c r="H44" s="88"/>
      <c r="I44" s="88">
        <f t="shared" si="5"/>
        <v>116.09233865237817</v>
      </c>
      <c r="J44" s="88">
        <f t="shared" si="6"/>
        <v>2913.791000000001</v>
      </c>
    </row>
    <row r="45" spans="1:10" ht="21" thickBot="1">
      <c r="A45" s="54"/>
      <c r="B45" s="60" t="s">
        <v>88</v>
      </c>
      <c r="C45" s="99">
        <v>27830.892</v>
      </c>
      <c r="D45" s="100"/>
      <c r="E45" s="100"/>
      <c r="F45" s="99">
        <v>27856.468</v>
      </c>
      <c r="G45" s="88"/>
      <c r="H45" s="88"/>
      <c r="I45" s="88">
        <f t="shared" si="5"/>
        <v>100.09189788095905</v>
      </c>
      <c r="J45" s="88">
        <f t="shared" si="6"/>
        <v>25.57600000000093</v>
      </c>
    </row>
    <row r="46" spans="1:10" ht="21" thickBot="1">
      <c r="A46" s="136" t="s">
        <v>6</v>
      </c>
      <c r="B46" s="137" t="s">
        <v>52</v>
      </c>
      <c r="C46" s="113">
        <f>SUM(C47:C51)-C49</f>
        <v>84620.11580900001</v>
      </c>
      <c r="D46" s="113">
        <f>SUM(D47:D55)-D49-D52-D53</f>
        <v>92268.3</v>
      </c>
      <c r="E46" s="113">
        <f>SUM(E47:E55)-E49-E52-E53-E54</f>
        <v>90496.37099999998</v>
      </c>
      <c r="F46" s="113">
        <f>SUM(F47:F51)-F49+F55</f>
        <v>91354.91100000001</v>
      </c>
      <c r="G46" s="114">
        <f>SUM(F46/D46*100)</f>
        <v>99.0100727985668</v>
      </c>
      <c r="H46" s="114">
        <f>SUM(F46/E46*100)</f>
        <v>100.94870102581244</v>
      </c>
      <c r="I46" s="114">
        <f>SUM(F46/C46*100)</f>
        <v>107.9588583950906</v>
      </c>
      <c r="J46" s="114">
        <f>SUM(F46-C46)</f>
        <v>6734.795190999997</v>
      </c>
    </row>
    <row r="47" spans="1:10" ht="20.25">
      <c r="A47" s="34" t="s">
        <v>7</v>
      </c>
      <c r="B47" s="37" t="s">
        <v>31</v>
      </c>
      <c r="C47" s="84">
        <v>8879.163</v>
      </c>
      <c r="D47" s="84">
        <v>9932</v>
      </c>
      <c r="E47" s="84">
        <v>9550.534</v>
      </c>
      <c r="F47" s="84">
        <v>8663.1</v>
      </c>
      <c r="G47" s="85">
        <f>SUM(F47/D47*100)</f>
        <v>87.22412404349578</v>
      </c>
      <c r="H47" s="85">
        <f>SUM(F47/E47*100)</f>
        <v>90.70801695486347</v>
      </c>
      <c r="I47" s="85">
        <f>SUM(F47/C47*100)</f>
        <v>97.56662874642576</v>
      </c>
      <c r="J47" s="85">
        <f>SUM(F47-C47)</f>
        <v>-216.0630000000001</v>
      </c>
    </row>
    <row r="48" spans="1:10" ht="20.25">
      <c r="A48" s="34" t="s">
        <v>10</v>
      </c>
      <c r="B48" s="14" t="s">
        <v>32</v>
      </c>
      <c r="C48" s="87">
        <v>73378.566</v>
      </c>
      <c r="D48" s="87">
        <v>79233.6</v>
      </c>
      <c r="E48" s="87">
        <v>77693.476</v>
      </c>
      <c r="F48" s="87">
        <v>79625.4</v>
      </c>
      <c r="G48" s="88">
        <f>SUM(F48/D48*100)</f>
        <v>100.49448718725387</v>
      </c>
      <c r="H48" s="88">
        <f>SUM(F48/E48*100)</f>
        <v>102.4865974589681</v>
      </c>
      <c r="I48" s="88">
        <f>SUM(F48/C48*100)</f>
        <v>108.51315900613265</v>
      </c>
      <c r="J48" s="88">
        <f>SUM(F48-C48)</f>
        <v>6246.833999999988</v>
      </c>
    </row>
    <row r="49" spans="1:10" ht="20.25">
      <c r="A49" s="25"/>
      <c r="B49" s="15" t="s">
        <v>49</v>
      </c>
      <c r="C49" s="89"/>
      <c r="D49" s="87">
        <v>1920</v>
      </c>
      <c r="E49" s="87">
        <v>0</v>
      </c>
      <c r="F49" s="87">
        <v>1937.8532</v>
      </c>
      <c r="G49" s="88"/>
      <c r="H49" s="88"/>
      <c r="I49" s="88"/>
      <c r="J49" s="88"/>
    </row>
    <row r="50" spans="1:10" ht="20.25">
      <c r="A50" s="34" t="s">
        <v>11</v>
      </c>
      <c r="B50" s="14" t="s">
        <v>33</v>
      </c>
      <c r="C50" s="87">
        <v>0</v>
      </c>
      <c r="D50" s="87">
        <v>0</v>
      </c>
      <c r="E50" s="87">
        <v>0</v>
      </c>
      <c r="F50" s="87">
        <v>0</v>
      </c>
      <c r="G50" s="88"/>
      <c r="H50" s="88"/>
      <c r="I50" s="88"/>
      <c r="J50" s="88"/>
    </row>
    <row r="51" spans="1:10" ht="20.25">
      <c r="A51" s="34" t="s">
        <v>12</v>
      </c>
      <c r="B51" s="35" t="s">
        <v>34</v>
      </c>
      <c r="C51" s="87">
        <f>SUM(C52:C53)</f>
        <v>2362.386809</v>
      </c>
      <c r="D51" s="87">
        <v>2674.7</v>
      </c>
      <c r="E51" s="87">
        <v>2920.495</v>
      </c>
      <c r="F51" s="87">
        <f>SUM(F52:F53)</f>
        <v>2768.911</v>
      </c>
      <c r="G51" s="88">
        <f>SUM(F51/D51*100)</f>
        <v>103.52230156653084</v>
      </c>
      <c r="H51" s="88">
        <f>SUM(F51/E51*100)</f>
        <v>94.80964699477316</v>
      </c>
      <c r="I51" s="88">
        <f>SUM(F51/C51*100)</f>
        <v>117.20819763517399</v>
      </c>
      <c r="J51" s="88">
        <f aca="true" t="shared" si="7" ref="J51:J58">SUM(F51-C51)</f>
        <v>406.524191</v>
      </c>
    </row>
    <row r="52" spans="1:10" ht="20.25">
      <c r="A52" s="25"/>
      <c r="B52" s="16" t="s">
        <v>77</v>
      </c>
      <c r="C52" s="101">
        <v>1842.324</v>
      </c>
      <c r="D52" s="101">
        <v>2174.8</v>
      </c>
      <c r="E52" s="101">
        <v>2294.4</v>
      </c>
      <c r="F52" s="101">
        <v>2051.201</v>
      </c>
      <c r="G52" s="88">
        <f>SUM(F52/D52*100)</f>
        <v>94.31676475997793</v>
      </c>
      <c r="H52" s="88">
        <f>SUM(F52/E52*100)</f>
        <v>89.40032252440724</v>
      </c>
      <c r="I52" s="88">
        <f>SUM(F52/C52*100)</f>
        <v>111.33769087304948</v>
      </c>
      <c r="J52" s="88">
        <f t="shared" si="7"/>
        <v>208.87699999999995</v>
      </c>
    </row>
    <row r="53" spans="1:10" ht="20.25">
      <c r="A53" s="25"/>
      <c r="B53" s="16" t="s">
        <v>99</v>
      </c>
      <c r="C53" s="89">
        <v>520.062809</v>
      </c>
      <c r="D53" s="89">
        <v>499.9</v>
      </c>
      <c r="E53" s="89">
        <f>626.1</f>
        <v>626.1</v>
      </c>
      <c r="F53" s="89">
        <v>717.71</v>
      </c>
      <c r="G53" s="88">
        <f>SUM(F53/D53*100)</f>
        <v>143.5707141428286</v>
      </c>
      <c r="H53" s="88">
        <f>SUM(F53/E53*100)</f>
        <v>114.63184794761221</v>
      </c>
      <c r="I53" s="88">
        <f>SUM(F53/C53*100)</f>
        <v>138.00448476214726</v>
      </c>
      <c r="J53" s="88">
        <f t="shared" si="7"/>
        <v>197.64719100000002</v>
      </c>
    </row>
    <row r="54" spans="1:10" ht="20.25">
      <c r="A54" s="25"/>
      <c r="B54" s="16" t="s">
        <v>109</v>
      </c>
      <c r="C54" s="89"/>
      <c r="D54" s="89">
        <v>0</v>
      </c>
      <c r="E54" s="89">
        <v>273.797</v>
      </c>
      <c r="F54" s="89">
        <v>122.988</v>
      </c>
      <c r="G54" s="102" t="s">
        <v>74</v>
      </c>
      <c r="H54" s="88">
        <f>SUM(F54/E54*100)</f>
        <v>44.91941109654232</v>
      </c>
      <c r="I54" s="102" t="s">
        <v>74</v>
      </c>
      <c r="J54" s="88">
        <f t="shared" si="7"/>
        <v>122.988</v>
      </c>
    </row>
    <row r="55" spans="1:10" ht="21" thickBot="1">
      <c r="A55" s="51" t="s">
        <v>51</v>
      </c>
      <c r="B55" s="52" t="s">
        <v>83</v>
      </c>
      <c r="C55" s="103"/>
      <c r="D55" s="104">
        <v>428</v>
      </c>
      <c r="E55" s="104">
        <v>331.866</v>
      </c>
      <c r="F55" s="105">
        <v>297.5</v>
      </c>
      <c r="G55" s="106">
        <f>SUM(F55/D55*100)</f>
        <v>69.50934579439252</v>
      </c>
      <c r="H55" s="96">
        <f>SUM(F55/E55*100)</f>
        <v>89.64461559786179</v>
      </c>
      <c r="I55" s="107" t="s">
        <v>74</v>
      </c>
      <c r="J55" s="96">
        <f t="shared" si="7"/>
        <v>297.5</v>
      </c>
    </row>
    <row r="56" spans="1:10" ht="20.25">
      <c r="A56" s="39"/>
      <c r="B56" s="50" t="s">
        <v>84</v>
      </c>
      <c r="C56" s="97">
        <v>12026.4</v>
      </c>
      <c r="D56" s="108"/>
      <c r="E56" s="108"/>
      <c r="F56" s="97">
        <v>5218.5</v>
      </c>
      <c r="G56" s="88"/>
      <c r="H56" s="109"/>
      <c r="I56" s="109">
        <f>SUM(F56/C56*100)</f>
        <v>43.39203751746158</v>
      </c>
      <c r="J56" s="109">
        <f t="shared" si="7"/>
        <v>-6807.9</v>
      </c>
    </row>
    <row r="57" spans="1:10" ht="20.25">
      <c r="A57" s="57" t="s">
        <v>13</v>
      </c>
      <c r="B57" s="82" t="s">
        <v>81</v>
      </c>
      <c r="C57" s="98">
        <f>SUM(C56-8815)</f>
        <v>3211.3999999999996</v>
      </c>
      <c r="D57" s="87">
        <v>0</v>
      </c>
      <c r="E57" s="87">
        <v>0</v>
      </c>
      <c r="F57" s="98">
        <v>3898.6</v>
      </c>
      <c r="G57" s="88"/>
      <c r="H57" s="88"/>
      <c r="I57" s="85">
        <f>SUM(F57/C57*100)</f>
        <v>121.39876689294388</v>
      </c>
      <c r="J57" s="85">
        <f t="shared" si="7"/>
        <v>687.2000000000003</v>
      </c>
    </row>
    <row r="58" spans="1:10" ht="21" thickBot="1">
      <c r="A58" s="25"/>
      <c r="B58" s="32" t="s">
        <v>119</v>
      </c>
      <c r="C58" s="100">
        <v>2314.994</v>
      </c>
      <c r="D58" s="100"/>
      <c r="E58" s="100"/>
      <c r="F58" s="100">
        <f>2598.807+388.517</f>
        <v>2987.3239999999996</v>
      </c>
      <c r="G58" s="88"/>
      <c r="H58" s="88"/>
      <c r="I58" s="85">
        <f>SUM(F58/C58*100)</f>
        <v>129.0424078852904</v>
      </c>
      <c r="J58" s="85">
        <f t="shared" si="7"/>
        <v>672.3299999999995</v>
      </c>
    </row>
    <row r="59" spans="1:10" ht="20.25">
      <c r="A59" s="21" t="s">
        <v>14</v>
      </c>
      <c r="B59" s="127" t="s">
        <v>35</v>
      </c>
      <c r="C59" s="108">
        <f>SUM(C18-C46)</f>
        <v>120.3781909999816</v>
      </c>
      <c r="D59" s="108">
        <f>SUM(D17-D39-D46)</f>
        <v>-379.3382000000129</v>
      </c>
      <c r="E59" s="108">
        <f>SUM(E17-E39-E46)</f>
        <v>1317.1020000000135</v>
      </c>
      <c r="F59" s="108">
        <f>SUM(F18-F46)</f>
        <v>566.5249999999942</v>
      </c>
      <c r="G59" s="109">
        <f aca="true" t="shared" si="8" ref="G59:G68">SUM(F59/D59*100)</f>
        <v>-149.34562350956875</v>
      </c>
      <c r="H59" s="109">
        <f>SUM(F59/E59*100)</f>
        <v>43.012993678544895</v>
      </c>
      <c r="I59" s="109">
        <f aca="true" t="shared" si="9" ref="I59:I68">SUM(F59/C59*100)</f>
        <v>470.62096156610363</v>
      </c>
      <c r="J59" s="109">
        <f aca="true" t="shared" si="10" ref="J59:J69">SUM(F59-C59)</f>
        <v>446.1468090000126</v>
      </c>
    </row>
    <row r="60" spans="1:10" ht="21" thickBot="1">
      <c r="A60" s="22" t="s">
        <v>15</v>
      </c>
      <c r="B60" s="52" t="s">
        <v>73</v>
      </c>
      <c r="C60" s="104">
        <f>SUM(C17-C46)</f>
        <v>4272.278190999976</v>
      </c>
      <c r="D60" s="104">
        <f>SUM(D17-D46)</f>
        <v>2337.861799999984</v>
      </c>
      <c r="E60" s="104">
        <f>SUM(E17-E46)</f>
        <v>4744.402000000016</v>
      </c>
      <c r="F60" s="104">
        <f>SUM(F17-F46)</f>
        <v>5501.907999999996</v>
      </c>
      <c r="G60" s="106">
        <f t="shared" si="8"/>
        <v>235.3393173197848</v>
      </c>
      <c r="H60" s="106">
        <f>SUM(F60/E60*100)</f>
        <v>115.9663114550575</v>
      </c>
      <c r="I60" s="106">
        <f t="shared" si="9"/>
        <v>128.78159506537685</v>
      </c>
      <c r="J60" s="106">
        <f t="shared" si="10"/>
        <v>1229.62980900002</v>
      </c>
    </row>
    <row r="61" spans="1:10" ht="20.25">
      <c r="A61" s="32"/>
      <c r="B61" s="66" t="s">
        <v>65</v>
      </c>
      <c r="C61" s="110">
        <v>4807.844</v>
      </c>
      <c r="D61" s="110">
        <v>3714.1</v>
      </c>
      <c r="E61" s="110">
        <v>4017.5</v>
      </c>
      <c r="F61" s="110">
        <v>5844.315</v>
      </c>
      <c r="G61" s="85">
        <f t="shared" si="8"/>
        <v>157.3548100481947</v>
      </c>
      <c r="H61" s="85">
        <f>SUM(F61/E61*100)</f>
        <v>145.47143746110766</v>
      </c>
      <c r="I61" s="85">
        <f t="shared" si="9"/>
        <v>121.55791660461529</v>
      </c>
      <c r="J61" s="85">
        <f t="shared" si="10"/>
        <v>1036.4709999999995</v>
      </c>
    </row>
    <row r="62" spans="1:10" ht="21" thickBot="1">
      <c r="A62" s="32"/>
      <c r="B62" s="65" t="s">
        <v>61</v>
      </c>
      <c r="C62" s="104">
        <v>1340.8</v>
      </c>
      <c r="D62" s="104">
        <v>900</v>
      </c>
      <c r="E62" s="104">
        <f>SUM(E61+E63)</f>
        <v>1492.7800000000002</v>
      </c>
      <c r="F62" s="104">
        <f>F61-4360</f>
        <v>1484.3149999999996</v>
      </c>
      <c r="G62" s="106">
        <f t="shared" si="8"/>
        <v>164.92388888888885</v>
      </c>
      <c r="H62" s="106">
        <f>SUM(F62/E62*100)</f>
        <v>99.43293720441052</v>
      </c>
      <c r="I62" s="106">
        <f t="shared" si="9"/>
        <v>110.70368436754174</v>
      </c>
      <c r="J62" s="106">
        <f t="shared" si="10"/>
        <v>143.51499999999965</v>
      </c>
    </row>
    <row r="63" spans="1:10" ht="20.25">
      <c r="A63" s="32"/>
      <c r="B63" s="66" t="s">
        <v>64</v>
      </c>
      <c r="C63" s="110">
        <v>-3108.617</v>
      </c>
      <c r="D63" s="110">
        <v>-4040.9</v>
      </c>
      <c r="E63" s="110">
        <v>-2524.72</v>
      </c>
      <c r="F63" s="110">
        <v>-3966.111</v>
      </c>
      <c r="G63" s="85">
        <f t="shared" si="8"/>
        <v>98.14919943576925</v>
      </c>
      <c r="H63" s="85">
        <f>SUM(F63/E63*100)</f>
        <v>157.0911229760132</v>
      </c>
      <c r="I63" s="85">
        <f t="shared" si="9"/>
        <v>127.5844209820637</v>
      </c>
      <c r="J63" s="85">
        <f t="shared" si="10"/>
        <v>-857.4939999999997</v>
      </c>
    </row>
    <row r="64" spans="1:10" ht="20.25">
      <c r="A64" s="32"/>
      <c r="B64" s="49" t="s">
        <v>62</v>
      </c>
      <c r="C64" s="89">
        <f>SUM(3467-3108.617)</f>
        <v>358.3829999999998</v>
      </c>
      <c r="D64" s="89">
        <v>-1226.8</v>
      </c>
      <c r="E64" s="98">
        <v>0</v>
      </c>
      <c r="F64" s="89">
        <f>4360+F63</f>
        <v>393.8890000000001</v>
      </c>
      <c r="G64" s="88">
        <f t="shared" si="8"/>
        <v>-32.107026410172814</v>
      </c>
      <c r="H64" s="88"/>
      <c r="I64" s="85">
        <f t="shared" si="9"/>
        <v>109.90727796798407</v>
      </c>
      <c r="J64" s="85">
        <f t="shared" si="10"/>
        <v>35.50600000000031</v>
      </c>
    </row>
    <row r="65" spans="1:10" ht="21" thickBot="1">
      <c r="A65" s="32"/>
      <c r="B65" s="65" t="s">
        <v>63</v>
      </c>
      <c r="C65" s="104">
        <f>471+C64</f>
        <v>829.3829999999998</v>
      </c>
      <c r="D65" s="104">
        <v>-954.4</v>
      </c>
      <c r="E65" s="104">
        <f>+E64</f>
        <v>0</v>
      </c>
      <c r="F65" s="104">
        <f>F64+900</f>
        <v>1293.8890000000001</v>
      </c>
      <c r="G65" s="106">
        <f>SUM(F65/D65*100)</f>
        <v>-135.57093461860856</v>
      </c>
      <c r="H65" s="106"/>
      <c r="I65" s="106">
        <f t="shared" si="9"/>
        <v>156.00621184663785</v>
      </c>
      <c r="J65" s="106">
        <f t="shared" si="10"/>
        <v>464.5060000000003</v>
      </c>
    </row>
    <row r="66" spans="1:10" ht="20.25">
      <c r="A66" s="32"/>
      <c r="B66" s="66" t="s">
        <v>66</v>
      </c>
      <c r="C66" s="110">
        <v>2513.1</v>
      </c>
      <c r="D66" s="110">
        <v>2272.4</v>
      </c>
      <c r="E66" s="110">
        <v>2965.68</v>
      </c>
      <c r="F66" s="110">
        <v>2556.872</v>
      </c>
      <c r="G66" s="85">
        <f t="shared" si="8"/>
        <v>112.51857067417707</v>
      </c>
      <c r="H66" s="85">
        <f>SUM(F66/E66*100)</f>
        <v>86.2153705052467</v>
      </c>
      <c r="I66" s="85">
        <f t="shared" si="9"/>
        <v>101.74175321316304</v>
      </c>
      <c r="J66" s="85">
        <f t="shared" si="10"/>
        <v>43.771999999999935</v>
      </c>
    </row>
    <row r="67" spans="1:10" ht="20.25">
      <c r="A67" s="32"/>
      <c r="B67" s="49" t="s">
        <v>102</v>
      </c>
      <c r="C67" s="89">
        <f>2042.1</f>
        <v>2042.1</v>
      </c>
      <c r="D67" s="88">
        <v>2000</v>
      </c>
      <c r="E67" s="87">
        <v>2965.68</v>
      </c>
      <c r="F67" s="89">
        <f>F66-900</f>
        <v>1656.8719999999998</v>
      </c>
      <c r="G67" s="88">
        <f t="shared" si="8"/>
        <v>82.8436</v>
      </c>
      <c r="H67" s="88">
        <f>SUM(F67/E67*100)</f>
        <v>55.86819886164387</v>
      </c>
      <c r="I67" s="85">
        <f t="shared" si="9"/>
        <v>81.13569364869497</v>
      </c>
      <c r="J67" s="85">
        <f t="shared" si="10"/>
        <v>-385.22800000000007</v>
      </c>
    </row>
    <row r="68" spans="1:10" ht="21" thickBot="1">
      <c r="A68" s="32"/>
      <c r="B68" s="65" t="s">
        <v>101</v>
      </c>
      <c r="C68" s="111">
        <f>C67+C70</f>
        <v>2102.1</v>
      </c>
      <c r="D68" s="111">
        <f>+D67</f>
        <v>2000</v>
      </c>
      <c r="E68" s="111">
        <f>+E67</f>
        <v>2965.68</v>
      </c>
      <c r="F68" s="111">
        <f>F67+F70</f>
        <v>1808.456</v>
      </c>
      <c r="G68" s="106">
        <f t="shared" si="8"/>
        <v>90.4228</v>
      </c>
      <c r="H68" s="106">
        <f>SUM(F68/E68*100)</f>
        <v>60.97947182433708</v>
      </c>
      <c r="I68" s="91">
        <f t="shared" si="9"/>
        <v>86.03092145949289</v>
      </c>
      <c r="J68" s="91">
        <f t="shared" si="10"/>
        <v>-293.644</v>
      </c>
    </row>
    <row r="69" spans="1:10" ht="21" thickBot="1">
      <c r="A69" s="32"/>
      <c r="B69" s="38" t="s">
        <v>100</v>
      </c>
      <c r="C69" s="112">
        <v>0</v>
      </c>
      <c r="D69" s="113">
        <v>392.3</v>
      </c>
      <c r="E69" s="113">
        <v>285.915</v>
      </c>
      <c r="F69" s="113">
        <v>915.195</v>
      </c>
      <c r="G69" s="114">
        <f>SUM(F69/D69*100)</f>
        <v>233.28957430537852</v>
      </c>
      <c r="H69" s="114">
        <f>SUM(F69/E69*100)</f>
        <v>320.09338439746074</v>
      </c>
      <c r="I69" s="115" t="s">
        <v>74</v>
      </c>
      <c r="J69" s="114">
        <f t="shared" si="10"/>
        <v>915.195</v>
      </c>
    </row>
    <row r="70" spans="1:10" ht="20.25">
      <c r="A70" s="32"/>
      <c r="B70" s="64" t="s">
        <v>103</v>
      </c>
      <c r="C70" s="67">
        <v>60</v>
      </c>
      <c r="D70" s="97">
        <v>0</v>
      </c>
      <c r="E70" s="97">
        <v>0</v>
      </c>
      <c r="F70" s="67">
        <v>151.584</v>
      </c>
      <c r="G70" s="109"/>
      <c r="H70" s="109"/>
      <c r="I70" s="109"/>
      <c r="J70" s="109"/>
    </row>
    <row r="71" spans="1:10" ht="21" thickBot="1">
      <c r="A71" s="33"/>
      <c r="B71" s="65" t="s">
        <v>104</v>
      </c>
      <c r="C71" s="116" t="s">
        <v>79</v>
      </c>
      <c r="D71" s="117">
        <v>0</v>
      </c>
      <c r="E71" s="117">
        <v>0</v>
      </c>
      <c r="F71" s="117">
        <v>0</v>
      </c>
      <c r="G71" s="85"/>
      <c r="H71" s="85"/>
      <c r="I71" s="106"/>
      <c r="J71" s="106"/>
    </row>
    <row r="72" spans="1:10" ht="20.25">
      <c r="A72" s="45"/>
      <c r="B72" s="46" t="s">
        <v>59</v>
      </c>
      <c r="C72" s="47"/>
      <c r="D72" s="47"/>
      <c r="E72" s="47"/>
      <c r="F72" s="140" t="s">
        <v>108</v>
      </c>
      <c r="G72" s="140"/>
      <c r="H72" s="140"/>
      <c r="I72" s="45"/>
      <c r="J72" s="45"/>
    </row>
    <row r="73" spans="1:10" ht="20.25">
      <c r="A73" s="45"/>
      <c r="B73" s="46" t="s">
        <v>56</v>
      </c>
      <c r="C73" s="59" t="s">
        <v>69</v>
      </c>
      <c r="D73" s="59" t="s">
        <v>57</v>
      </c>
      <c r="E73" s="79" t="s">
        <v>80</v>
      </c>
      <c r="F73" s="59" t="s">
        <v>107</v>
      </c>
      <c r="G73" s="10"/>
      <c r="H73" s="118">
        <f>2168.08+3180+3467+4360</f>
        <v>13175.08</v>
      </c>
      <c r="I73" s="45"/>
      <c r="J73" s="45"/>
    </row>
    <row r="74" spans="1:10" ht="20.25">
      <c r="A74" s="45"/>
      <c r="B74" s="46" t="s">
        <v>120</v>
      </c>
      <c r="C74" s="77" t="s">
        <v>70</v>
      </c>
      <c r="D74" s="77" t="s">
        <v>58</v>
      </c>
      <c r="E74" s="11"/>
      <c r="F74" s="77" t="s">
        <v>105</v>
      </c>
      <c r="G74" s="11"/>
      <c r="H74" s="119">
        <f>1029.5+471+900</f>
        <v>2400.5</v>
      </c>
      <c r="I74" s="45"/>
      <c r="J74" s="45"/>
    </row>
    <row r="75" spans="1:10" ht="20.25">
      <c r="A75" s="45"/>
      <c r="B75" s="139" t="s">
        <v>121</v>
      </c>
      <c r="C75" s="78" t="s">
        <v>71</v>
      </c>
      <c r="D75" s="79" t="s">
        <v>53</v>
      </c>
      <c r="E75" s="9"/>
      <c r="F75" s="78" t="s">
        <v>106</v>
      </c>
      <c r="G75" s="42"/>
      <c r="H75" s="138">
        <f>SUM(H73+H74)</f>
        <v>15575.58</v>
      </c>
      <c r="I75" s="45"/>
      <c r="J75" s="45"/>
    </row>
    <row r="76" spans="3:8" ht="20.25">
      <c r="C76" s="78"/>
      <c r="D76" s="79"/>
      <c r="E76" s="9"/>
      <c r="F76" s="78"/>
      <c r="G76" s="42"/>
      <c r="H76" s="68"/>
    </row>
    <row r="77" spans="3:8" ht="20.25">
      <c r="C77" s="78"/>
      <c r="D77" s="79"/>
      <c r="E77" s="9"/>
      <c r="F77" s="78"/>
      <c r="G77" s="42"/>
      <c r="H77" s="68"/>
    </row>
    <row r="78" spans="3:8" ht="20.25">
      <c r="C78" s="42"/>
      <c r="D78" s="58"/>
      <c r="E78" s="9"/>
      <c r="F78" s="42"/>
      <c r="G78" s="42"/>
      <c r="H78" s="68"/>
    </row>
    <row r="79" spans="3:8" ht="20.25">
      <c r="C79" s="42"/>
      <c r="D79" s="58"/>
      <c r="E79" s="9"/>
      <c r="F79" s="42"/>
      <c r="G79" s="42"/>
      <c r="H79" s="68"/>
    </row>
    <row r="80" spans="1:8" ht="20.25">
      <c r="A80" s="26"/>
      <c r="B80" s="26"/>
      <c r="C80" s="42"/>
      <c r="D80" s="58"/>
      <c r="E80" s="9"/>
      <c r="F80" s="42"/>
      <c r="G80" s="42"/>
      <c r="H80" s="68"/>
    </row>
    <row r="81" spans="1:4" ht="20.25">
      <c r="A81" s="26"/>
      <c r="B81" s="40"/>
      <c r="D81" s="28"/>
    </row>
    <row r="82" spans="1:4" ht="20.25">
      <c r="A82" s="29"/>
      <c r="B82" s="55"/>
      <c r="D82" s="28"/>
    </row>
    <row r="83" spans="1:5" ht="20.25">
      <c r="A83" s="26"/>
      <c r="B83" s="18"/>
      <c r="C83" s="28"/>
      <c r="D83" s="28"/>
      <c r="E83" s="28"/>
    </row>
    <row r="84" spans="1:5" ht="20.25">
      <c r="A84" s="26"/>
      <c r="B84" s="40"/>
      <c r="C84" s="28"/>
      <c r="D84" s="28"/>
      <c r="E84" s="28"/>
    </row>
    <row r="85" ht="20.25">
      <c r="A85" s="26"/>
    </row>
    <row r="86" spans="1:5" ht="20.25">
      <c r="A86" s="58"/>
      <c r="B86" s="73"/>
      <c r="C86" s="28"/>
      <c r="D86" s="28"/>
      <c r="E86" s="28"/>
    </row>
    <row r="87" spans="1:2" ht="20.25">
      <c r="A87" s="26"/>
      <c r="B87" s="40"/>
    </row>
    <row r="88" spans="1:9" ht="20.25">
      <c r="A88" s="26"/>
      <c r="B88" s="40"/>
      <c r="C88" s="28"/>
      <c r="D88" s="28"/>
      <c r="E88" s="28"/>
      <c r="F88" s="28"/>
      <c r="G88" s="28"/>
      <c r="H88" s="28"/>
      <c r="I88" s="28"/>
    </row>
    <row r="89" spans="1:26" ht="20.25">
      <c r="A89" s="69"/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2"/>
      <c r="X89" s="72"/>
      <c r="Y89" s="72"/>
      <c r="Z89" s="72"/>
    </row>
    <row r="90" spans="1:2" ht="20.25">
      <c r="A90" s="41"/>
      <c r="B90" s="27"/>
    </row>
    <row r="91" spans="1:2" ht="20.25">
      <c r="A91" s="41"/>
      <c r="B91" s="27"/>
    </row>
  </sheetData>
  <mergeCells count="1">
    <mergeCell ref="F72:H72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Mifkovičová</cp:lastModifiedBy>
  <cp:lastPrinted>2003-06-03T10:51:59Z</cp:lastPrinted>
  <dcterms:created xsi:type="dcterms:W3CDTF">2002-02-21T15:08:53Z</dcterms:created>
  <dcterms:modified xsi:type="dcterms:W3CDTF">2003-06-27T10:19:05Z</dcterms:modified>
  <cp:category/>
  <cp:version/>
  <cp:contentType/>
  <cp:contentStatus/>
</cp:coreProperties>
</file>